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ustomProperty5.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ustomProperty3.bin" ContentType="application/vnd.openxmlformats-officedocument.spreadsheetml.customProperty"/>
  <Override PartName="/xl/customProperty4.bin" ContentType="application/vnd.openxmlformats-officedocument.spreadsheetml.customPropert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7605" yWindow="-15" windowWidth="7650" windowHeight="8955" tabRatio="804" firstSheet="22" activeTab="22"/>
  </bookViews>
  <sheets>
    <sheet name="Data" sheetId="1" state="hidden" r:id="rId1"/>
    <sheet name="Instrucciones" sheetId="46" r:id="rId2"/>
    <sheet name="Control de Cambios" sheetId="45" r:id="rId3"/>
    <sheet name="1. Portal" sheetId="42" r:id="rId4"/>
    <sheet name="2. Gestión de Procesos" sheetId="38" r:id="rId5"/>
    <sheet name="3. Gestión Dtal - Flujo" sheetId="39" r:id="rId6"/>
    <sheet name="4. Gestión Dtal - Cia y Sols " sheetId="41" r:id="rId7"/>
    <sheet name="5. Colaboración" sheetId="40" r:id="rId8"/>
    <sheet name="DV-IDENTITY-0" sheetId="18" state="veryHidden" r:id="rId9"/>
    <sheet name="6. Seguridad" sheetId="43" r:id="rId10"/>
    <sheet name="7. Captura y Formularios" sheetId="26" r:id="rId11"/>
    <sheet name="8. Solución de Riesgo" sheetId="27" r:id="rId12"/>
    <sheet name="9. Admón. del Seguro Depósito" sheetId="34" r:id="rId13"/>
    <sheet name="10. Seguimiento" sheetId="28" r:id="rId14"/>
    <sheet name="11. Prima e Inscripciones" sheetId="29" r:id="rId15"/>
    <sheet name="12. Apoyo e Intervención" sheetId="30" r:id="rId16"/>
    <sheet name="13. Admón. de Proveedores" sheetId="32" r:id="rId17"/>
    <sheet name="14. Admón. de Bienes" sheetId="33" r:id="rId18"/>
    <sheet name="15. Capacitación" sheetId="35" r:id="rId19"/>
    <sheet name="16. Informes e Indicadores" sheetId="36" r:id="rId20"/>
    <sheet name="17. Administración de Proyectos" sheetId="25" r:id="rId21"/>
    <sheet name="NF. No Funcionales" sheetId="44" r:id="rId22"/>
    <sheet name="Tipificación de las Solicitudes" sheetId="47" r:id="rId23"/>
    <sheet name="Lista de Procesos" sheetId="22" r:id="rId24"/>
    <sheet name="Tipificación de Terceros" sheetId="24" r:id="rId25"/>
    <sheet name="Estados de las Entidades" sheetId="48" r:id="rId26"/>
  </sheets>
  <externalReferences>
    <externalReference r:id="rId27"/>
  </externalReferences>
  <definedNames>
    <definedName name="_xlnm._FilterDatabase" localSheetId="21" hidden="1">'NF. No Funcionales'!$B$31:$G$126</definedName>
    <definedName name="_xlnm._FilterDatabase" hidden="1">#REF!</definedName>
    <definedName name="Macroactividades" localSheetId="3">[1]Data!$C$2:$C$60</definedName>
    <definedName name="Macroactividades" localSheetId="4">[1]Data!$C$2:$C$60</definedName>
    <definedName name="Macroactividades" localSheetId="5">[1]Data!$C$2:$C$60</definedName>
    <definedName name="Macroactividades" localSheetId="6">[1]Data!$C$2:$C$60</definedName>
    <definedName name="Macroactividades" localSheetId="7">[1]Data!$C$2:$C$60</definedName>
    <definedName name="Macroactividades" localSheetId="9">[1]Data!$C$2:$C$60</definedName>
    <definedName name="Macroactividades" localSheetId="21">[1]Data!$C$2:$C$60</definedName>
    <definedName name="Macroactividades">Data!$C$2:$C$60</definedName>
  </definedNames>
  <calcPr calcId="125725"/>
</workbook>
</file>

<file path=xl/calcChain.xml><?xml version="1.0" encoding="utf-8"?>
<calcChain xmlns="http://schemas.openxmlformats.org/spreadsheetml/2006/main">
  <c r="B30" i="44"/>
  <c r="B30" i="25"/>
  <c r="B30" i="36"/>
  <c r="B30" i="35"/>
  <c r="B30" i="33"/>
  <c r="B30" i="32"/>
  <c r="B30" i="30"/>
  <c r="B30" i="29"/>
  <c r="B30" i="28"/>
  <c r="B30" i="34"/>
  <c r="B30" i="27"/>
  <c r="B30" i="26"/>
  <c r="B30" i="43"/>
  <c r="B30" i="40"/>
  <c r="B30" i="41"/>
  <c r="B30" i="39"/>
  <c r="B30" i="38" l="1"/>
  <c r="B30" i="42"/>
  <c r="B34" i="38" l="1"/>
  <c r="B35" s="1"/>
  <c r="B36" s="1"/>
  <c r="B37" s="1"/>
  <c r="B38" s="1"/>
  <c r="B39" s="1"/>
  <c r="B40" s="1"/>
  <c r="B41" s="1"/>
  <c r="B42" s="1"/>
  <c r="B43" s="1"/>
  <c r="B44" s="1"/>
  <c r="B45" s="1"/>
  <c r="B46" s="1"/>
  <c r="B47" s="1"/>
  <c r="B48" s="1"/>
  <c r="B49" s="1"/>
  <c r="B50" s="1"/>
  <c r="B51" s="1"/>
  <c r="B52" s="1"/>
  <c r="B53" s="1"/>
  <c r="B54" s="1"/>
  <c r="B55" s="1"/>
  <c r="B56" s="1"/>
  <c r="B57" s="1"/>
  <c r="B58" s="1"/>
  <c r="B59" s="1"/>
  <c r="B60" s="1"/>
  <c r="B61" s="1"/>
  <c r="B62" s="1"/>
  <c r="B63" s="1"/>
  <c r="B64" s="1"/>
  <c r="B65" s="1"/>
  <c r="B66" s="1"/>
  <c r="B67" s="1"/>
  <c r="B68" s="1"/>
  <c r="B69" s="1"/>
  <c r="B70" s="1"/>
  <c r="B71" s="1"/>
  <c r="B72" s="1"/>
  <c r="B73" s="1"/>
  <c r="B74" s="1"/>
  <c r="B75" s="1"/>
  <c r="B76" s="1"/>
  <c r="B77" s="1"/>
  <c r="B78" s="1"/>
  <c r="B79" s="1"/>
  <c r="A50" i="18" l="1"/>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X50"/>
  <c r="GY50"/>
  <c r="GZ50"/>
  <c r="HA50"/>
  <c r="HB50"/>
  <c r="HC50"/>
  <c r="HD50"/>
  <c r="HE50"/>
  <c r="HF50"/>
  <c r="HG50"/>
  <c r="HH50"/>
  <c r="IB50"/>
  <c r="IC50"/>
  <c r="ID50"/>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R43"/>
  <c r="IS43"/>
  <c r="IT43"/>
  <c r="IU43"/>
  <c r="IV43"/>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J31"/>
  <c r="IK31"/>
  <c r="IL31"/>
  <c r="IM31"/>
  <c r="IN31"/>
  <c r="IO31"/>
  <c r="IP31"/>
  <c r="IQ31"/>
  <c r="IR31"/>
  <c r="IS31"/>
  <c r="IT31"/>
  <c r="IU31"/>
  <c r="IV31"/>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A22"/>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B10"/>
  <c r="C10"/>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A9"/>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A7"/>
  <c r="B7"/>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A5"/>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A4"/>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A3"/>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GW50" l="1"/>
  <c r="IQ43"/>
  <c r="II31"/>
  <c r="FU47" l="1"/>
  <c r="A39"/>
  <c r="A10" l="1"/>
  <c r="DQ39" l="1"/>
</calcChain>
</file>

<file path=xl/sharedStrings.xml><?xml version="1.0" encoding="utf-8"?>
<sst xmlns="http://schemas.openxmlformats.org/spreadsheetml/2006/main" count="3045" uniqueCount="938">
  <si>
    <t>MacroActividad</t>
  </si>
  <si>
    <t>Persona Entrevistada</t>
  </si>
  <si>
    <t>Fecha de Entrevista</t>
  </si>
  <si>
    <t>Hora Entrevista</t>
  </si>
  <si>
    <t>DIVULGACIÓN DEL SEGURO DE DEPÓSITO</t>
  </si>
  <si>
    <t>Planeación</t>
  </si>
  <si>
    <t>Ejecución</t>
  </si>
  <si>
    <t>Seguimiento</t>
  </si>
  <si>
    <t>MacroProceso</t>
  </si>
  <si>
    <t>Proceso</t>
  </si>
  <si>
    <t>ADMINISTRACIÓN DE LA RESERVA</t>
  </si>
  <si>
    <t>COBRAR LA PRIMA A LAS ENTIDADES</t>
  </si>
  <si>
    <t>Gestionar el cobro</t>
  </si>
  <si>
    <t>Causar la prima</t>
  </si>
  <si>
    <t>ADMINISTRAR EL PORTAFOLIO</t>
  </si>
  <si>
    <t>Definir las políticas de inversión</t>
  </si>
  <si>
    <t>Estructurar el portafolio</t>
  </si>
  <si>
    <t>Gestionar el portafolio</t>
  </si>
  <si>
    <t>Administrar el riesgo del portafolio</t>
  </si>
  <si>
    <t>IMPLEMENTAR OPERACIONES DE APOYO DE CORTO PLAZO</t>
  </si>
  <si>
    <t>Evaluar y contratar al intermediario que va a realizar la operación de apoyo cuando lo amerite</t>
  </si>
  <si>
    <t>Efectuar la operación de apoyo</t>
  </si>
  <si>
    <t>Realizar seguimiento a los pagarés endosados y registrar novedades</t>
  </si>
  <si>
    <t>Realizar seguimiento a la entidad</t>
  </si>
  <si>
    <t>Liquidar el convenio</t>
  </si>
  <si>
    <t>IMPLEMENTAR OPERACIONES DE APOYO DE LARGO PLAZO</t>
  </si>
  <si>
    <t>ADMINISTRACIÓN DEL RIESGO</t>
  </si>
  <si>
    <t>INSCRIBIR ENTIDADES AL FONDO</t>
  </si>
  <si>
    <t>Recibir y analizar información de las entidades</t>
  </si>
  <si>
    <t>Recomendar la modalidad de inscripción</t>
  </si>
  <si>
    <t>Decidir la inscripción y su modalidad</t>
  </si>
  <si>
    <t>Ejecutar la decisión tomada por la Junta Directiva</t>
  </si>
  <si>
    <t xml:space="preserve">Recaudar los derechos de inscripción </t>
  </si>
  <si>
    <t>Formalizar la inscripción</t>
  </si>
  <si>
    <t>PREVENIR EL RIESGO</t>
  </si>
  <si>
    <t>Realizar seguimiento financiero</t>
  </si>
  <si>
    <t>Realizar seguimiento a los convenios de desempeño</t>
  </si>
  <si>
    <t>Capacitar las entidades</t>
  </si>
  <si>
    <t>Participar en actividades de coordinación interinstitucional</t>
  </si>
  <si>
    <t>Promover proyectos de regulación y politicas del sector cooperativo</t>
  </si>
  <si>
    <t>Generar investigaciones e informes de coyuntura</t>
  </si>
  <si>
    <t>Generar doctrina especializada</t>
  </si>
  <si>
    <t>EVALUAR OPERACIONES DE APOYO</t>
  </si>
  <si>
    <t>Evaluar operaciones de apoyo de corto plazo</t>
  </si>
  <si>
    <t>Evaluar operaciones de apoyo de largo plazo</t>
  </si>
  <si>
    <t>IMPULSAR SALIDAS ORDENADAS</t>
  </si>
  <si>
    <t>Identificar y recomendar alternativas de mecanismos de salvamento de las entidades inscritas a las entidades de control</t>
  </si>
  <si>
    <t>EJECUCIÓN DE MEDIDAS DE INTERVENCIÓN</t>
  </si>
  <si>
    <t>DESIGNAR AGENTE ESPECIAL/LIQUIDADOR</t>
  </si>
  <si>
    <t>Seleccionar y nombrar al agente especial o liquidador y del contralor interno</t>
  </si>
  <si>
    <t>Seleccionar a los miembros de Junta Asesora representantes de los minoritarios</t>
  </si>
  <si>
    <t>CONCEPTUAR SOBRE ESTUDIO DE VIABILIDAD</t>
  </si>
  <si>
    <t xml:space="preserve">REALIZAR SEGUIMIENTO A LA GESTIÓN DEL AGENTE ESPECIAL </t>
  </si>
  <si>
    <t>Definir la planeación y desarrollo del seguimiento a la liquidación</t>
  </si>
  <si>
    <t>Presentar la propuesta al equipo directivo para obtener su aprobación</t>
  </si>
  <si>
    <t>Definir la información requerida para realizar el seguimiento al liquidador</t>
  </si>
  <si>
    <t>Recibir y verificar que la información recibida cumpla con todos los requerimientos</t>
  </si>
  <si>
    <t>Analizar la información recibida para realizar el seguimiento</t>
  </si>
  <si>
    <t>Identificar acciones correctivas para proponerlas al liquidador</t>
  </si>
  <si>
    <t>REALIZAR SEGUIMIENTO A LA GESTIÓN DEL LIQUIDADOR</t>
  </si>
  <si>
    <t>PAGAR EL SEGURO DE DEPOSITO</t>
  </si>
  <si>
    <t>Recolectar la información</t>
  </si>
  <si>
    <t>Calcular el valor del seguro de depósito o valor equivalente</t>
  </si>
  <si>
    <t>Seleccionar el administrador del proceso de pago</t>
  </si>
  <si>
    <t>Seleccionar o aprobar las entidades ejecutoras del proceso de pago - entidades de divulgación, notificadoras, entidad pagadora, correo, operador logístico</t>
  </si>
  <si>
    <t>Ejecutar el proceso de pago</t>
  </si>
  <si>
    <t>Realizar el seguimiento al proceso</t>
  </si>
  <si>
    <t>Formalizar la subrogación por los valores pagados</t>
  </si>
  <si>
    <t>GESTIONAR ACTIVOS RECIBIDOS</t>
  </si>
  <si>
    <t>Aplicar los procedimientos señalados en el manual de gestión de los activos recibidos</t>
  </si>
  <si>
    <t>Evaluar y contratar a los administradores de los activos</t>
  </si>
  <si>
    <t>Recibir de la entidad y entregar a los administradores los activos recibidos</t>
  </si>
  <si>
    <t>Realizar seguimiento a los administradores de los activos sobre el estado de éstos</t>
  </si>
  <si>
    <t>Enajenar activos recibidos cuando lo amerite</t>
  </si>
  <si>
    <t>Consultor PwC</t>
  </si>
  <si>
    <t>Adriana Mcallister - Martha Teresa Durán</t>
  </si>
  <si>
    <t>Germán Romero - Liliana Baquero</t>
  </si>
  <si>
    <t>Adriana Mcallister - Martha Teresa Durán - Germán Romero - Liliana Baquero</t>
  </si>
  <si>
    <t>Elizabeth Sánchez - Carlos Torres</t>
  </si>
  <si>
    <t>Elizabeth Sánchez - Lina Prada</t>
  </si>
  <si>
    <t>Comité de inversiones</t>
  </si>
  <si>
    <t>Comité de inversiones - Comité de Riesgos - Javier Bernal</t>
  </si>
  <si>
    <t>Adriana Mcallsiter - Liliana Baquero - Santiago Díaz - Dilia Ariza</t>
  </si>
  <si>
    <t>Cesar Avendaño</t>
  </si>
  <si>
    <t>Cesar Avendaño - Santiago Díaz</t>
  </si>
  <si>
    <t>Santiago Díaz - Cesar Avendaño - Adriana Mcllister - Natalia Baquero - Martha Teresa Durán</t>
  </si>
  <si>
    <t>Germán Romero - Liliana Baquero - Adriana Mcllister - Santiago Díaz</t>
  </si>
  <si>
    <t>Adriana Mcllister - Germán Romero - Santiago Díaz</t>
  </si>
  <si>
    <t>10 a.m. 12</t>
  </si>
  <si>
    <t>11 Abril - 13 Abril</t>
  </si>
  <si>
    <t>9 am - 12</t>
  </si>
  <si>
    <t>11 Abril - 12 Abril</t>
  </si>
  <si>
    <t>Gestión de Procesos</t>
  </si>
  <si>
    <t>Grupo de Gestión</t>
  </si>
  <si>
    <t>11 de Abril 9 a.m.</t>
  </si>
  <si>
    <t>11 Abril 9 a.m</t>
  </si>
  <si>
    <t>Requerimiento</t>
  </si>
  <si>
    <t>ID Req</t>
  </si>
  <si>
    <t>Comentarios</t>
  </si>
  <si>
    <t>Inscribir Entidades al Fondo</t>
  </si>
  <si>
    <t xml:space="preserve">Para el modelamiento de los flujos de trabajo, el sistema no debe requerir de lenguajes de programación, secuencias de comandos o programas adicionales </t>
  </si>
  <si>
    <t>El sistema debe generar notificaciones automáticas informando el vencimiento de tareas al responsable y al nivel siguiente de escalamiento</t>
  </si>
  <si>
    <t>Prevenir el Riesgo</t>
  </si>
  <si>
    <t>A1</t>
  </si>
  <si>
    <t>A2</t>
  </si>
  <si>
    <t>A3</t>
  </si>
  <si>
    <t>A4</t>
  </si>
  <si>
    <t>A5</t>
  </si>
  <si>
    <t>A6</t>
  </si>
  <si>
    <t>Evaluar Operaciones de Apoyo</t>
  </si>
  <si>
    <t>Impulsar Salidas Ordenadas</t>
  </si>
  <si>
    <t>Las proyecciones financieras deben ser parametrizables, para incluir nuevas fórmulas de indicadores, una nueva forma de realizar la proyección, o tener en cuenta nuevas variables definidas, también conectarse con datos de mercado en línea para generar las proyecciones, tipo tasa de cambio, inflación, tasa de usura, DTF, otros que se definan</t>
  </si>
  <si>
    <t>El sistema debe permitir crear nuevas actividades, o cancelar estas en el plan, y guardar la trazabilidad de los cambios realizados a las actividades, esto solo puede ser realizado por usuarios autorizados</t>
  </si>
  <si>
    <t xml:space="preserve">El sistema debe permitir obtener información de indicadores, informes, y otra información que sea parametrizada, con el fin de generar reportes editables más complejos, y que sigan los flujos de aprobación y publicación dispuestos </t>
  </si>
  <si>
    <t>Designar Agente Especial/Liquidador</t>
  </si>
  <si>
    <t>Conceptuar sobre estudio de viabilidad</t>
  </si>
  <si>
    <t>Realizar seguimiento a la gestión del agente especial</t>
  </si>
  <si>
    <t>Realizar seguimiento a la gestión del liquidador</t>
  </si>
  <si>
    <t>Pagar el Seguro de Depósito</t>
  </si>
  <si>
    <t>Gestionar Activos Recibidos</t>
  </si>
  <si>
    <t>Todo el seguimiento realizado por parte del usuario, debe ser consignado en el sistema, en el momento de tomar una decisión, esta debe seguir el flujo de aprobación adecuado para su aprobación, estas decisiones deben poder ser enviadas manualmente vía correo electrónico o físico a diferentes entes que sean asignados al proceso</t>
  </si>
  <si>
    <t>El sistema debe alertar a usuario responsable que debe buscar un administrador del proceso de pago, entidades ejecutoras, entidades de divulgación, notificadoras, pagadoras, operadores logísticos</t>
  </si>
  <si>
    <t>El sistema debe permitir guardar la información de administradores de activos, datos de contacto, y evaluaciones de sus gestiones anteriores</t>
  </si>
  <si>
    <t>Portal</t>
  </si>
  <si>
    <t>Gestión Documental</t>
  </si>
  <si>
    <t>Colaboración</t>
  </si>
  <si>
    <t>Seguridad</t>
  </si>
  <si>
    <t>El sistema debe comparar la información enviada en la solicitud, frente a la información de la Cooperativa que ya se encuentra en el sistema y generar alertas que deben ser parametrizables</t>
  </si>
  <si>
    <t>El sistema debe permitir que las personas a cargo del proceso puedan generar comentarios y seguimientos a la Cooperativa, estos deben quedar debidamente registrados en el sistema con fecha, hora y usuario</t>
  </si>
  <si>
    <t>El sistema debe ser parametrizable para colocar metas, líneas base de indicadores, y otras reglas con los cuales el sistema pueda realizar una comparación, y en el caso que la Cooperativa se encuentre por fuera de ciertos rangos, generar una alerta al profesional responsable del seguimiento y generar concepto frente a la Cooperativa</t>
  </si>
  <si>
    <t>Cobrar la prima a las entidades</t>
  </si>
  <si>
    <t>Administrar el portafolio</t>
  </si>
  <si>
    <t>El sistema debe permitir la configuración de reglas de liquidación del valor de las primas, sobre parámetros provenientes de sistemas externos, como modelos de riesgo e indicadores.</t>
  </si>
  <si>
    <t>El sistema debe pemitir generar comunicados internos, con noticias, artículos, links en internet o intranet, y que estos sean enviados a los directorios activos marcados, previa autorización en flujo de trabajo</t>
  </si>
  <si>
    <t>A las actividades creadas se les debe permitir asignar un responsable, una fecha de cumplimiento, recursos (financieros y no financieros) y aprobadores</t>
  </si>
  <si>
    <t>El sistema debe permitir que el responsable pueda escribir comentarios, cerrar actividades cuando se hayan cumplido, colocar el costo real de la actividad ejecutada, otros recursos utilizados, fecha real de finalización</t>
  </si>
  <si>
    <t>El sistema debe permitir guardar comentarios y decisiones respecto a la solicitud de inscripción de la cooperativa, conservando fecha, instancia, comunicaciones con el solicitante y respuestas</t>
  </si>
  <si>
    <t>El sistema debe permitir que las cooperativas sean asignadas por un usuario administrador determinado a los diferentes profesionales del Fondo, para que puedan realizar el seguimiento a estas</t>
  </si>
  <si>
    <t>El sistema debe permitir que el profesional vaya dejando evidencia del seguimiento realizado a las Cooperativas, este seguimiento debe registrar fecha, hora y usuario, adicionalmente que se pueda adjuntar información tipo excel, word, pdf o imágenes, y que estas puedan ser consultadas por otros procesos o usuarios autorizados al buscar información de la cooperativa</t>
  </si>
  <si>
    <t>Se deben poder consultar indicadores de meses anteriores tomando información antes de retransmisión y con información despúes de retransmisión, comparación porcentual, comparación de cuentas específicas, comparación de número de datos.</t>
  </si>
  <si>
    <t>El sistema debe permitir flexibilidad para crear formularios en poco tiempo, para diligenciar la información que se considere necesaria con el fin de realizar el trámite de solicitud de apoyo, el formulario debe contener mínimo los siguientes campos:
- Nombre de la Cooperativa*
- Nit Cooperativa*
- Nombre representante Legal*
- Revisor Fiscal*
- Nombre de la persona solicitante*
- Cédula*
- Correo electrónico*
- Teléfono
- Ciudad
- Dirección física
- Monto del Apoyo*
- Necesidad del apoyo* (Texto), incluir el porque se requiere.
- Tiempo estimado de devolución de recursos*
* Campos obligatorios</t>
  </si>
  <si>
    <t>El sistema debe poder generar consolidados de los pagos recibidos (autoliquidación de la entidad inscrita) y los valores de prima liquidados en el sistema, generar diferencias y generar procesos de ajuste a estas diferencias.</t>
  </si>
  <si>
    <t>El sistema debe permitir generar un reporte de las actividades realizadas en el ciclo de vida de la operación de apoyo.</t>
  </si>
  <si>
    <t>El sistema debe permitir generar reportes personalizados, para el análisis, de la información disponible de las operaciones de apoyo. Debe permitir consolidar, y comparar de manera gráfica y analítica, la información histórica de las actividades realizadas en el ciclo de vida de la operación de apoyo. Realizar proyecciones con modelos predictivos parametrizables.</t>
  </si>
  <si>
    <t>El sistema debe permitir la configuración de los flujos de documentos por tipo de documento.</t>
  </si>
  <si>
    <t>El sistema debe permitir registrar todas las actividades que se ejecutan y los datos del usuario, de tal forma que se mantenga la trazabilidad de los flujos documentales configurados.</t>
  </si>
  <si>
    <t>El sistema debe permitir la gestión (definición, consulta, eliminación, actualización) de las listas de dependencias, cargos y funcionarios, las cuales se utilizarán durante los flujos de trabajo para identificar los responsables.</t>
  </si>
  <si>
    <t>El sistema debe permitir  la definición de las reglas de asignación de los documentos por cada uno de los flujos de documentos.</t>
  </si>
  <si>
    <t>El sistema debe permitir  la priorización de atención de los documentos para recibir respuesta en los tiempos acordados. Esta parametrización debe realizarse a través de  reglas basadas en los tipos de documento, fecha y hora de radicación, entre otras.</t>
  </si>
  <si>
    <t>El sistema debe permitir la definición de permisos por roles, entre los cuales debe permitirse a los supervisores revisar los flujos y la trazabilidad de cada uno, teniendo en cuenta el proceso al que pertenece.</t>
  </si>
  <si>
    <t>El sistema debe permitir la reasignación manual de documentos de un funcionario a otro por parte del supervisor del flujo.</t>
  </si>
  <si>
    <t>El sistema debe permitir la modificación de los datos asociados con el documento, dejando registro del cambio y controlando los datos que pueden ser cambiados de acuerdo a la etapa del flujo en el cual se encuentre.</t>
  </si>
  <si>
    <t>El sistema debe generar alarmas al supervisor cuando se va a cumplir el plazo para dar respuesta a una actividad del flujo documental. Estas alarmas deben ser configuradas de acuerdo al porcentaje del plazo que haya transcurrido.</t>
  </si>
  <si>
    <t>El sistema debe generar  reportes que entre su información permitan identificar: la cantidad de documentos procesados, en proceso y los pendientes por funcionario. Estos reportes deben ser filtrados a través de parámetros como son: el tipo de documento, las fechas de inicio y fin del flujo, el responsable entre otros.</t>
  </si>
  <si>
    <t>El sistema debe generar un reporte de gestión sobre los flujos de trabajo que indique los tiempos de procesamiento promedio por tipo de documento y funcionario.</t>
  </si>
  <si>
    <t>El sistema debe generar un reporte de gestión sobre los flujos de trabajo que indique la proporción de documentos atendidos dentro y fuera de los plazos establecidos, organizados por dependencia o grupo de funcionarios y tipo de documento.</t>
  </si>
  <si>
    <t>El sistema debe generar un reporte sobre las acciones realizadas por un usuario o grupo de usuarios sobre un documento durante su procesamiento en el flujo de documentos.</t>
  </si>
  <si>
    <t>El sistema debe permitir la gestión (consulta, actualización) del "estado" de los documentos a medida que avanzan dentro del flujo.</t>
  </si>
  <si>
    <t>El sistema debe permitir la visualización (consulta) de documentos a través de navegadores web y de forma simultánea.</t>
  </si>
  <si>
    <t>El sistema debe permitir la generación de reportes sobre gestión y los cambios realizados sobre los flujos documentales.</t>
  </si>
  <si>
    <t>El sistema debe permitir recibir, archivar, consultar y enviar documentos.</t>
  </si>
  <si>
    <t>El sistema debe permitir adicionar libremente un destinatario.</t>
  </si>
  <si>
    <t>El sistema debe permitir cargar formatos de respuesta prediseñados.</t>
  </si>
  <si>
    <t>El sistema debe permitir notificar a un tercero de una respuesta dada sobre el flujo de documentos en el cual está involucrado.</t>
  </si>
  <si>
    <t>El sistema debe permitir imprimir un documento.</t>
  </si>
  <si>
    <t>El sistema debe permitir convertir la respuesta de un documento en formato PDF.</t>
  </si>
  <si>
    <t>El sistema debe permitir la creación de comentarios por cada uno de los documentos cargados.  Se debe permitir la consulta de los comentarios para revisar la historia completa de un documento.</t>
  </si>
  <si>
    <t>El sistema debe permitir asociar datos de indexación únicos a los documentos que funcionen como llave y solo puedan ser modificados por el administrador.</t>
  </si>
  <si>
    <t>El sistema debe permitir asociar a los documentos datos adicionales que sirvan como criterio de búsqueda y que puedan ser modificados de acuerdo a reglas definidas.</t>
  </si>
  <si>
    <t>El sistema debe permitir visualizar documentos desde otros sistemas mediante un servicio consulta de documentos, indicándole al Sistema de Gestión Documental los datos de indexación o criterios de consulta.</t>
  </si>
  <si>
    <t>El sistema debe manejar diferentes formatos para guardar imágenes (TIF, PDF, JPEG, MPEG,entre otros que soporten video y audio.).</t>
  </si>
  <si>
    <t>El sistema debe permitir soportar jerarquías y versiones de documentos mediante la definición de estructuras fijas de carpetas y subcarpetas que permitan agrupar, administrar y visualizar tipos documentales afines en series, subseries y tipos documentales.</t>
  </si>
  <si>
    <t>El sistema debe permitir el registro de los metadatos que identifiquen documentos, imágenes o cualquier tipo de archivo digital.</t>
  </si>
  <si>
    <t>El sistema debe permitir crear enlaces entre tipos, unidades, subseries y series documentales asociadas.</t>
  </si>
  <si>
    <t xml:space="preserve">El sistema debe permitir la indexación automática de documentos asociando un código de identificación único del documento. </t>
  </si>
  <si>
    <t>El sistema debe permitir la consulta de los diferentes tipos de documentos creados por rango de fechas y/o por diferentes parámetros.</t>
  </si>
  <si>
    <t>El sistema debe permitir la consulta de documentos por periodos de tiempo, de tal forma que se puedan identificar los documentos radicados y la gestión de los documentos a través de los flujos.</t>
  </si>
  <si>
    <t>El sistema debe permitir que la consulta de los documentos se pueda realizar a través de una interfaz web que permita su acceso independiente del lugar geográfico en que se encuentre el usuario.</t>
  </si>
  <si>
    <t>El sistema debe permitir la digitalización de documentos.</t>
  </si>
  <si>
    <t>El sistema debe permitir asignar ID único a cada documento digitalizado.</t>
  </si>
  <si>
    <t>El sistema debe permitir mantener la referencia entre el documento digitalizado y el documento físico.</t>
  </si>
  <si>
    <t>El sistema debe permitir almacenar automáticamente el documento digitalizado en una ubicación única.</t>
  </si>
  <si>
    <t>El sistema debe permitir agregar metadatos al documento.</t>
  </si>
  <si>
    <t>El sistema debe permitir indexar el documento.</t>
  </si>
  <si>
    <t>El sistema debe permitir crear series documentales.</t>
  </si>
  <si>
    <t>El sistema debe permitir crear índices documentales.</t>
  </si>
  <si>
    <t>El sistema debe permitir la parametrización de los tipos de correspondencia definiendo para cada uno: los índices, datos asociados, estructura y permisos de acceso por usuarios y/o grupos de usuarios.</t>
  </si>
  <si>
    <t>El sistema debe permitir adicionar observaciones a un radicado.</t>
  </si>
  <si>
    <t>El sistema debe permitir recuperar los datos básicos registrados durante la radicación de correspondencia entrante al momento de la indexación de los soportes físicos digitalizados.</t>
  </si>
  <si>
    <t>El sistema debe permitir el registro de la correspondencia saliente, habilitando la impresión del documento con el número de radicación asignado por el sistema.</t>
  </si>
  <si>
    <t>El sistema debe permitir el despacho o entrega a destinatario mediante correo electrónico indicando el número de radicación asignado.</t>
  </si>
  <si>
    <t>El sistema debe permitir la creación del enlace entre la correspondencia saliente y la correspondencia entrante a la cual se da respuesta.</t>
  </si>
  <si>
    <t>El sistema debe permitir el registro de las devoluciones de correspondencia entrante o saliente incluyendo los motivos de la devolución y la acción tomada.</t>
  </si>
  <si>
    <t>El sistema debe direccionar la correspondencia entrante al flujo de documentos para que se asigne la dependencia o destinatario a fin de dar curso al documento.</t>
  </si>
  <si>
    <t>El sistema debe generar reportes de correspondencia entrante y saliente por dependencia, funcionarios, tipo de correspondencia, períodos u otros criterios de filtro.</t>
  </si>
  <si>
    <t>El sistema debe permitir la parametrización de la estructura de series, subseries y unidades documentales.</t>
  </si>
  <si>
    <t>El sistema debe permitir la administración de las tablas de retención documental para las series documentales definidas.</t>
  </si>
  <si>
    <t>El sistema debe permitir la parametrización de los tiempos de permanencia de los documentos en archivo electrónico.</t>
  </si>
  <si>
    <t xml:space="preserve">El sistema debe permitir el registro de las transferencias entre archivos (gestión, central e histórico).  </t>
  </si>
  <si>
    <t>El sistema debe generar inventarios documentales por tipo de archivo, por tipo documental o por área.</t>
  </si>
  <si>
    <t>El sistema debe permitir administrar el ciclo de vida de los documentos y registros, facilitando el mantenimiento del sistema documental y de los archivos físicos. Aquí se incluye la transferencia de documentos del archivo de gestión al archivo central y del archivo central al archivo histórico.</t>
  </si>
  <si>
    <t>El sistema debe permitir la consulta de los documentos y determinar el punto en que se encuentran ubicados física y electrónicamente.</t>
  </si>
  <si>
    <t>El sistema debe permitir el registro de inventarios de cajas de archivo y su ubicación física.</t>
  </si>
  <si>
    <t>El sistema debe permitir el registro de préstamos y devoluciones de soportes físicos prestados.</t>
  </si>
  <si>
    <t>El sistema debe permitir la impresión del formato de préstamo y devoluciones de soportes físicos.</t>
  </si>
  <si>
    <t>El sistema debe generar alertas al funcionario de archivo que le indiquen los documentos prestados cuyo plazo se ha vencido.</t>
  </si>
  <si>
    <t>El sistema debe generar un reporte estadístico que muestre la cantidad y porcentaje de préstamos por tipo de documento o por área.</t>
  </si>
  <si>
    <t>El sistema debe permitir ofrecer reportes que permitan revisar la trazabilidad de un documento o una correspondencia desde que se recibe hasta que se archiva o se genera una respuesta.</t>
  </si>
  <si>
    <t>Flujo de Documentos</t>
  </si>
  <si>
    <t>Administrador Documental</t>
  </si>
  <si>
    <t>Administración correspondencia</t>
  </si>
  <si>
    <t>Archivo</t>
  </si>
  <si>
    <t>El sistema debe permitir la configuración de las aprobaciones requeridas por tipo de documento, área de negocio, grupo de funcionarios o por los criterios identificados</t>
  </si>
  <si>
    <t>El sistema debe permitir almacenar, indexar y clasificar todo tipo de información que hace parte del conocimiento del Fondo, incluyendo: foros de discusión, videoconferencias, videos, chat, blogs entre otros.</t>
  </si>
  <si>
    <t>El sistema debe permitir el registro de información estructurada y no estructurada que se genere a través de los diferentes canales de comunicación del Fondo.</t>
  </si>
  <si>
    <t>Digitalización de Documentos</t>
  </si>
  <si>
    <t>El sistema debe permitir la parametrización de la estructura y consecutivos del número de radicación de acuerdo a los tipos de correspondencia que se manejan</t>
  </si>
  <si>
    <t>El sistema debe permitir la parametrización de las tablas de retención documental por cada tipo de documento definido, manejando automáticamente los períodos de retención de acuerdo con la Normatividad (Ley 594 de 2000) y a las políticas del Fondo</t>
  </si>
  <si>
    <t xml:space="preserve">El sistema debe permitir generar informes con la información que posee el Fondo, respecto a las cooperativas (número de cooperativas intervenidas, Cooperativas a las que se las dado apoyo, Valor de los activos recibidos por las cooperativas, valor de activos administrados por terceros, gastos generados por activos, entre otros), los informes deben ser parametrizables, y deben poder ser generado por los usarios autorizados con un solo botón </t>
  </si>
  <si>
    <t>El sistema debe permitir la definición de grupos de usuarios y/o comunidades, los cuales usarán todos o algunos de los servicios de colaboración (foros, blogs, chats, etc.) que se registran en estos requerimientos.</t>
  </si>
  <si>
    <t>El sistema debe permitir el uso de los diferentes servicios de colaboración de forma local o remota vía web.</t>
  </si>
  <si>
    <t>El sistema debe permitir la configuración de alarmas a los administradores sobre vigencias de contenido, participación de los usuarios en los servicios de colaboración (foros, blogs, etc), entre otras.</t>
  </si>
  <si>
    <t>El sistema debe permitir la gestión (crear, actualizar, consultar, versionar, eliminar) de los servicios de colaboración que ofrece.</t>
  </si>
  <si>
    <t>El sistema debe permitir registrar el historial de los contenidos gestionados en los servicios de colaboración ofrecidos.</t>
  </si>
  <si>
    <t>El sistema debe permitir la gestión de versiones de documentos trabajados en línea.</t>
  </si>
  <si>
    <t>El sistema debe permitir leer y modificar documentos en línea en cualquier momento y desde cualquier lugar, dispositivo o sistema operativo, sin necesidad de transferir o portar información a otros medios.</t>
  </si>
  <si>
    <t>El sistema debe permitir la creación de carpetas y jerarquías de carpetas para los documentos en línea.</t>
  </si>
  <si>
    <t>El sistema debe permitir la definición de plantillas reutilizables para los diferentes tipos de documentos en línea.</t>
  </si>
  <si>
    <t>El sistema debe permitir registrar como mínimo la siguiente información de un blog:
- Nombre del blog
- Responsable del blog
- Descripción del blog
- Fecha y hora de creación
- Fecha de vencimiento para publicación de información en el blog</t>
  </si>
  <si>
    <t>El sistema debe permitir visualizar la información publicada en cada blog por tema, por orden cronológico, por autor, por fecha, entre otros.</t>
  </si>
  <si>
    <t>El sistema debe permitir ser accedido a través de la web o de la intranet, registrando usuario, fecha y hora en que modifica información en el blog.</t>
  </si>
  <si>
    <t>El sistema debe permitirle al administrador establecer los permisos para gestionar (crear, consultar, modificar, eliminar) los blogs.</t>
  </si>
  <si>
    <t>El sistema debe ofrecer la funcionalidad para la creación de tareas, las cuales deben tener asociada información como la siguiente:
- Nombre de la tarea
- Responsable de la tarea
- Fecha de creación de la tarea
- Fecha de vencimiento de la tarea
- Objetivos de la tarea
- Grupo encargado de realizar la tarea
- Descripción de la tarea
- Registros para el seguimiento de la tarea para cada uno de los integrantes del grupo encargado de realizar la tarea</t>
  </si>
  <si>
    <t>El sistema debe permitir reasignar las tareas a personas o grupos de trabajo.</t>
  </si>
  <si>
    <t>El sistema debe permitir a los usuarios responsables de una tarea reportar los resultados de la misma. Cada uno de los registros debe quedar con la fecha, hora y nombre del usuario que lo realizó.</t>
  </si>
  <si>
    <t>El sistema debe permitir la configuración de alarmas de acuerdo a las fechas establecidas para el cumplimiento de una tarea por usuario.</t>
  </si>
  <si>
    <t>El sistema debe permitir configurar el valor y peso de cada pregunta de las votaciones y/o encuestas.</t>
  </si>
  <si>
    <t>El sistema debe permitir la definición de encuestas a través de la web o de la intranet.  Cada encuesta y/o votación debe cumplir con características como las siguientes: 
- Categoría, 
- Responsable,
- Preguntas,
- Fecha de creación,
- Fecha de vencimiento,
- Una o múltiples opciones de respuesta (respuestas abiertas, respuesta múltiples, respuesta única respuesta, respuesta verdadero o falso),
- Entre otras</t>
  </si>
  <si>
    <t>El sistema debe permitir la medición de los resultados de todas las encuestas y votaciones definidas. Se deben poder generar gráficos de análisis a partir de los resultados.</t>
  </si>
  <si>
    <t>El sistema debe permitir que los resultados de las encuestas y/o votaciones se puedan consultar por tipo de información, categoría, responsable,entre otras.</t>
  </si>
  <si>
    <t>El sistema debe permitir descargar los datos de resultado de una encuesta y/o votación en formatos como Excel, CSV.</t>
  </si>
  <si>
    <t>El sistema debe permitir la consulta de los históricos por encuesta teniendo en cuenta filtros como fecha, categoría de la encuesta, entre otros.</t>
  </si>
  <si>
    <t>El sistema debe permitir que múltiples usuarios puedan responder una misma encuesta de forma concurrente.</t>
  </si>
  <si>
    <t>El sistema debe permitir la asignación de una encuesta a un grupo o una comunidad específica para su diligenciamiento y análisis.</t>
  </si>
  <si>
    <t>El sistema debe impedir que las encuestas sean respondidas parcialmente.</t>
  </si>
  <si>
    <t>El sistema debe permitir consultar las ideas de innovación publicadas teniendo en cuenta filtros de búsqueda.</t>
  </si>
  <si>
    <t>El sistema debe permitirle al administrador establecer los permisos para gestionar el banco de ideas e innovación.</t>
  </si>
  <si>
    <t>El sistema debe permitir la publicación de videos, y ofrecer servicios de videoconferencia y teleconferencia.</t>
  </si>
  <si>
    <t>El sistema debe proveer las funcionalidades para enviar, recibir y gestionar mensajes a dispositivos móviles (SMS).</t>
  </si>
  <si>
    <t>Generalidades</t>
  </si>
  <si>
    <t>Documentos Compartidos</t>
  </si>
  <si>
    <t>Blogs</t>
  </si>
  <si>
    <t>Tareas</t>
  </si>
  <si>
    <t>Encuestas</t>
  </si>
  <si>
    <t>Generación de conocimiento</t>
  </si>
  <si>
    <t>A7</t>
  </si>
  <si>
    <t>Divulgación información</t>
  </si>
  <si>
    <t>Zona</t>
  </si>
  <si>
    <t>El sistema debe conservar el historial de las modificaciones que realiza cada usuario dentro de un documento en línea, teniendo en cuenta el requerimiento anterior</t>
  </si>
  <si>
    <t>El sistema debe permitir al administrador establecer los permisos de edición y consulta de las carpetas o documentos en línea.</t>
  </si>
  <si>
    <t>El sistema debe permitir la creación, modificación, consulta o eliminación de blogs privados y públicos para distintos propósitos, por ejemplo: como espacio de trabajo para discutir sobre un nuevo producto o publicar noticias relacionadas con un tema de interés.</t>
  </si>
  <si>
    <t>El sistema debe permitir la parametrización de las consultas para cada tipo de documento, permitiendo restringir los resultados devueltos de acuerdo al nivel de autorización del usuario que ejecuta la consulta.</t>
  </si>
  <si>
    <t>El sistema debe permitir crear votaciones y encuestas que pueden ser respondidas por usuarios externos o internos.</t>
  </si>
  <si>
    <t>El sistema debe permitir la creación y gestión de un banco de ideas e innovación que permita a todos los interesados (colaboradores y/o externos) proponer sus ideas y propuestas de innovación. Estos comentarios o ideas solo pueden ser consultados internamente en el Fondo, no deben quedar públicos.</t>
  </si>
  <si>
    <t>El sistema debe proveer funcionalidades para la gestión de redes sociales internas</t>
  </si>
  <si>
    <t>El sistema debe permitir la publicación automática de las comunicaciones generadas en el Fondo, en el medio aprobado (facebook, twitter, página web, intranet, SMS, e-mail, páginas web de otras entidades), previa autorización en flujo de trabajo</t>
  </si>
  <si>
    <t>El sistema debe permitir cargar información adjunta a las solicitudes como archivos de imágenes, word, excel, pdf, y asignar el mismo número de solicitud como una de las llaves para cruce de información</t>
  </si>
  <si>
    <t>El sistema debe permitir que las actividades de un proceso automatizado relacionen los documentos asociados.</t>
  </si>
  <si>
    <t>El sistema debe almacenar la trazabilidad de cada una de las actividades y del usuario que la ejecutó, la fecha de ejecución, y los datos de entrada y salida por actividad.</t>
  </si>
  <si>
    <t>El sistema debe permitir realizar consultas sobre el estado de las tareas asignadas por usuario.</t>
  </si>
  <si>
    <t>El sistema debe soportar la creación de flujos de proceso que requieren interacción humana.</t>
  </si>
  <si>
    <t>El sistema debe soportar el manejo de condiciones durante el flujo del proceso.</t>
  </si>
  <si>
    <t>El sistema debe soportar la detección y manejo de tiempos de espera durante un paso del flujo de proceso.</t>
  </si>
  <si>
    <t>El sistema debe generar un reporte que refleje el estado del flujo de trabajo en un momento determinado, permitiendo establecer cuellos de botella en el proceso.</t>
  </si>
  <si>
    <t>El sistema debe generar un reporte de gestión de los procesos soportados en los flujos de trabajo que indique el tiempo y la proporción del tiempo invertido en cada paso del flujo.</t>
  </si>
  <si>
    <t>El sistema debe soportar la re-evaluación de procesos basados en eventos. Ej. Cuando una actividad termina, o nueva información llega al proceso, puede ejecutar nuevamente ciertas actividades dentro de la instancia del proceso.</t>
  </si>
  <si>
    <t>El sistema debe soportar la ejecución de procesos en forma automática en horarios predefinidos.</t>
  </si>
  <si>
    <t>El sistema debe soportar la invocación de procesos desde servicios web.</t>
  </si>
  <si>
    <t>El sistema debe soportar que procesos y actividades inicien su ejecución en forma manual por intermedio de aplicaciones o procesos batch.</t>
  </si>
  <si>
    <t>El sistema debe soportar correo electrónico como canal para envío de notificaciones.</t>
  </si>
  <si>
    <t>El sistema debe soportar mensajes SMS como canal para envío de notificaciones.</t>
  </si>
  <si>
    <t>El sistema debe garantizar que no hay pérdida de mensajes en caso de fallas en el sistema.</t>
  </si>
  <si>
    <t>El sistema debe garantizar la atomicidad de las transacciones en caso de falla durante la ejecución de las actividades del proceso (Rollback o commit).</t>
  </si>
  <si>
    <t>El sistema debe proveer una interfaz para que los usuarios finales puedan ver las tareas pendientes.</t>
  </si>
  <si>
    <t>El sistema debe soportar flujos de trabajo asíncronos.</t>
  </si>
  <si>
    <t>El sistema debe soportar flujos de trabajo en paralelo.</t>
  </si>
  <si>
    <t>El sistema debe soportar flujos de trabajo condicionados.</t>
  </si>
  <si>
    <t>El sistema debe proveer componentes gráficos de administración.</t>
  </si>
  <si>
    <t>El sistema debe soportar el cambio de procesos sin necesidad de reinicializar el servidor.</t>
  </si>
  <si>
    <t>El sistema debe permitir crear alertas acerca de omisiones en pasos o etapas de un proceso.</t>
  </si>
  <si>
    <t>El sistema debe proveer interfaz gráfica para modelar los procesos y flujos de trabajo en notación BPMN.</t>
  </si>
  <si>
    <t>El sistema debe proveer la habilidad de ejecución y simulación de los procesos o flujos de trabajo.</t>
  </si>
  <si>
    <t>El sistema debe permitir la integración natural con el gestor documental.</t>
  </si>
  <si>
    <t>El sistema debe permitir a los responsables de los procesos, el seguimiento del estado de sus tareas y el tipo de acción necesaria (aprobación, reconocimiento, tarea en curso, tarea culminada, etc.).</t>
  </si>
  <si>
    <t>El sistema debe controlar y monitorear el flujo de las actividades de los procesos automatizados.</t>
  </si>
  <si>
    <t>El sistema debe permitir la configuración del tipo de mensaje y medio (correo electrónico, SMS) por el que se envía una alarma a los responsables de una tarea, pueden ser internos o externos del Fondo.</t>
  </si>
  <si>
    <t>El sistema debe mostrar a las personas que participan en el proceso las decisiones tomadas alrededor de la cooperativa (liquidación, venta, fusión, absorción, entre otras)</t>
  </si>
  <si>
    <t>Capacidad de ejecución de procesos</t>
  </si>
  <si>
    <t>Transacciones / Notificaciones</t>
  </si>
  <si>
    <t>Mensajes / Avisos</t>
  </si>
  <si>
    <t>Flujo de Trabajo</t>
  </si>
  <si>
    <t>Administración de Procesos / Escalabilidad</t>
  </si>
  <si>
    <t>A8</t>
  </si>
  <si>
    <t>Diagramación de Procesos</t>
  </si>
  <si>
    <t>Control de acceso</t>
  </si>
  <si>
    <t>El sistema debe permitir la generación de invitaciones vía correo electrónico hacia los agentes especiales / liquidadores / contralores, para un proceso de apoyo particular. Interacción con la Gestión Documental y el sistema de correo.</t>
  </si>
  <si>
    <t>El sistema debe permitir la creación y configuración de flujos de trabajo para la gestión de solicitudes.</t>
  </si>
  <si>
    <t>El sistema debe permitir configurar las áreas y los roles responsables de atender cada una de las solicitudes. Esta configuración debe estar asociada con un flujo de actividades dejando rastro de cada actividad.</t>
  </si>
  <si>
    <t>El sistema debe permitir el ingreso, modificación y consulta del estado en que se encuentra el trámite de una solicitud presentada, de acuerdo a las autorizaciones de perfiles y roles determinados por el administrador el sistema.</t>
  </si>
  <si>
    <t>El sistema debe permitir identificar los usuarios y las dependencias que realizan una labor particular dentro del flujo.</t>
  </si>
  <si>
    <t>El sistema debe permitir el registro de las actividades que se deben realizar para la solución de cada solicitud.</t>
  </si>
  <si>
    <t>El sistema debe permitir que cada solicitud mantenga la trazabilidad de su recorrido y que pueda ser consultada.</t>
  </si>
  <si>
    <t>El sistema debe contar con un tablero de control que permita realizar seguimiento y control a cada una de las solicitudes, así como identificar el responsable durante el trámite de cada actividad y el procedimiento llevado a cabo.</t>
  </si>
  <si>
    <t>El sistema debe permitir registrar todas las modificaciones realizadas a una solicitud así como las soluciones generadas y propuestas en cada caso.</t>
  </si>
  <si>
    <t>El sistema debe permitir el registro del seguimiento del cambio identificado de los procesos y procedimientos que agilicen la gestión de las solicitudes y del servicio que se presta.</t>
  </si>
  <si>
    <t>El sistema debe permitir la trazabilidad de los tiempos de respuesta por cada funcionario y dependencia/área.</t>
  </si>
  <si>
    <t xml:space="preserve">El sistema debe comunicarse con el gestor documental de tal manera que por este se puedan ingresar las solicitudes que se radiquen en el mismo. </t>
  </si>
  <si>
    <t>El sistema debe permitir configurar los tipos de advertencias y mensajes alerta cuando el término de cada solicitud está próximo a vencerse.</t>
  </si>
  <si>
    <t>El sistema debe disponer a los usuarios de una "bandeja de entrada" donde encuentren las solicitudes y tareas asignadas a él.</t>
  </si>
  <si>
    <t>El sistema debe permitirle al usuario devolver a un paso anterior las tareas o solicitudes que considere que no son para su operación, de tal forma que sean redirigidas a quien corresponde. En estos casos siempre se deberá pedir la correspondiente explicación y se debe almacenar el evento como parte de la historia de la tarea o solicitud.</t>
  </si>
  <si>
    <t>El sistema debe permitir verificar el trabajo realizado por el funcionario y devolverlo con la explicación correspondiente si no cumple con los criterios de calidad.</t>
  </si>
  <si>
    <t>El sistema debe permitir imprimir la respuesta generada a cada solicitud.</t>
  </si>
  <si>
    <t>El sistema debe permitir realizar la indexación del contenido de los documentos generados siendo soportados por un motor de búsqueda. Estos documentos se deben registrar en el gestor documental.</t>
  </si>
  <si>
    <t>El sistema debe permitir referenciar a la solicitud hecha por el cliente y digitalizada en el gestor documental.</t>
  </si>
  <si>
    <t>El sistema debe permitir que las respuestas a solicitudes puedan ser suspendidas (en el caso de aclaraciones que se requieran del usuario)  para esperar respuesta del usuario durante un tiempo específico.</t>
  </si>
  <si>
    <t>El sistema debe permitirle a cada solicitud incluir múltiples respuestas mientras algunas de estas no sean definitivas. El responsable del área debe concluir la solicitud teniendo en cuenta los tiempos definidos por los ANS.</t>
  </si>
  <si>
    <t>El sistema debe permitir configurar el direccionamiento de una solicitud por asignación manual, asignación automática o por balance automático de cargas en caso de que exista más de una persona con capacidad de dar respuesta y/o solución.</t>
  </si>
  <si>
    <t>El sistema además de permitir la asignación automática a través de un flujo, debe poder permitir que la solicitud llegue a un funcionario y éste pueda asignar las tareas a un usuario particular o a un grupo.</t>
  </si>
  <si>
    <t xml:space="preserve">El sistema debe permitir devolver una solicitud al usuario si no hay un entendimiento de su solicitud. </t>
  </si>
  <si>
    <t>El sistema debe permitir generar reportes por tiempos de respuesta de cada funcionario.</t>
  </si>
  <si>
    <t>El sistema debe permitir la medición estadística como resultado de las solicitudes presentadas, atendidas oportunamente, declinadas, pendientes y no atendidas.</t>
  </si>
  <si>
    <t>El sistema debe permitir configurar el número de áreas y unidades que pueden atender las solicitudes.</t>
  </si>
  <si>
    <t>El sistema debe permitir establecer los grupos de trabajo correspondientes a la ejecución de cada fase del tratamiento de una solicitud.</t>
  </si>
  <si>
    <t xml:space="preserve">El sistema debe permitir al usuario excluirse de los grupos de trabajo en los que algún momento fue asignado sin perder la trazabilidad de lo realizado dentro de dicho equipo. </t>
  </si>
  <si>
    <t>Gestión de Solicitudes</t>
  </si>
  <si>
    <t>Identificación y Registro de solicitudes</t>
  </si>
  <si>
    <t>Atención y trazabilidad</t>
  </si>
  <si>
    <t>Alarmas</t>
  </si>
  <si>
    <t>Administración de tareas</t>
  </si>
  <si>
    <t>Configuración</t>
  </si>
  <si>
    <t>El sistema debe solicitar información de identificación de usuario para otorgar opciones y autorizaciones correspondientes de acuerdo al perfil (Ahorrador, Cooperativa, Usuario Interno, Ente de Control, Administrador, entre otros).</t>
  </si>
  <si>
    <t>El sistema debe permitir generar alarmas de vencimiento de plazos de respuesta, generando alertas escalonadas a colaboradores y el siguiente nivel de escalamiento. (Por ejemplo: faltando 50% del tiempo de plazo de vencimiento envía mensajes de alerta al funcionario competente, mensajes de alerta al jefe de área faltando un 25% para vencerse). Estos tiempos podrán ser configurados para cada tipo de solicitud.</t>
  </si>
  <si>
    <t>El sistema debe permitir notificar al usuario encargado de dar solución a una solicitud (vía correo electrónico), cuando los tiempos de respuesta se acerquen al vencimiento, de acuerdo al sistema de seguimiento y control definido.</t>
  </si>
  <si>
    <t>El sistema debe contener un esquema de categorías jerárquicas que facilite la organización de la información ubicada en el portal.</t>
  </si>
  <si>
    <t xml:space="preserve">El sistema debe contar con servicios para generar índices o enlazar índices existentes de la información y sistemas registrados en el portal. </t>
  </si>
  <si>
    <t>El sistema debe incorporar funcionalidades nativas de aplicaciones de redes sociales (facebook, twitter), a través de vínculos como: "síguenos", "recomiéndanos", "me gusta".</t>
  </si>
  <si>
    <t>El sistema debe permitir activar y desactivar secciones completas del portal.</t>
  </si>
  <si>
    <t>El sistema debe permitir conexión a través de redes privadas para la configuración y permitir consultar en tiempo real los porcentajes de utilización de los enlaces.</t>
  </si>
  <si>
    <t>El sistema debe permitir la inclusión de archivos multimedia (audio y video) en la página web.</t>
  </si>
  <si>
    <t>El sistema debe permitir la programación de la vigencia y expiración de los contenidos y los documentos publicados en el portal, los cuales después de su vencimiento dejarían registro y pasarían a un histórico de forma automática.</t>
  </si>
  <si>
    <t xml:space="preserve">El sistema debe permitir generar alertas al administrador del portal cuando la publicación del contenido supere o esté cerca de superar una fecha de vencimiento definida. Como ejemplo: noticias, novedades, boletines. </t>
  </si>
  <si>
    <t>El sistema debe incluir un gestor de contenidos que permita configurar la información que se despliega en intranet o extranet.</t>
  </si>
  <si>
    <t xml:space="preserve">El sistema debe permitir diseñar, revisar, aprobar y publicar información en el portal a través de páginas de contenido o enlace a contenido expuesto en repositorios tales como documentos, videos, etc. </t>
  </si>
  <si>
    <t>El sistema debe permitir la consulta de información de la base de datos del portal para identificar rendimiento, cantidad de información publicada, usuarios que visitan el portal y frecuencia por usuarios.</t>
  </si>
  <si>
    <t>El sistema debe ofrecer una vista de configuración que permita gestionar los parámetros del portal como son: seguridad, migración de información entre versiones del portal, actualización de información.</t>
  </si>
  <si>
    <t>El sistema debe permitir la edición total del contenido documental e informativo del portal.</t>
  </si>
  <si>
    <t>El sistema debe permitir la edición y administración de contenidos del portal sin requerir conocimiento técnico de lenguajes de programación web, XML, HTML, etc.</t>
  </si>
  <si>
    <t>El sistema debe permitir la asignación de un editor a una o varias categorías.</t>
  </si>
  <si>
    <t>El sistema debe permitir un espacio para editar y agregar archivos de documentos y formatos en el portal, permitiendo establecer los permisos de descarga a nivel de usuarios.</t>
  </si>
  <si>
    <t>El sistema debe permitir mostrar información parametrizada por ubicación geográfica.</t>
  </si>
  <si>
    <t>El sistema debe permitir identificar la ubicación geográfica de cada usuario que accede al portal, permitiéndole a un administrador gestionar los contenidos prioritarios de documentos e información que deben visualizarse.</t>
  </si>
  <si>
    <t>El sistema debe permitir hacerle saber al usuario "dónde está" dentro del portal, y de forma contextual respecto a la página de inicio.</t>
  </si>
  <si>
    <t>El sistema debe integrar un motor de búsqueda sobre los contenidos.</t>
  </si>
  <si>
    <t>El sistema debe permitir informarle a los usuarios qué secciones pueden ver, y si necesitan registro o permiso para otros contenidos, los debe guiar de manera automática en el proceso requerido para acceder.</t>
  </si>
  <si>
    <t>El sistema debe presentar la ruta de navegabilidad en todas las páginas y las fechas de actualización de la información publicada.</t>
  </si>
  <si>
    <t>El sistema debe generar un mapa del sitio automático que incluya vínculos de cuarto nivel. La página principal del sitio deberá disponer de un mapa del sitio que permita al navegante ubicar rápidamente la información requerida. La plataforma deberá actualizar dinámica y automáticamente este mapa de acuerdo con los cambios realizados a través del módulo de administración.</t>
  </si>
  <si>
    <t>El sistema debe permitir la autenticación del usuario que accede al portal y, dependiendo del tipo de usuario, se deben establecer las autorizaciones para el acceso al contenido y a las aplicaciones.</t>
  </si>
  <si>
    <t>El sistema debe contar con facilidades de ayuda en línea.</t>
  </si>
  <si>
    <t>El sistema debe permitirle al administrador hacer un consolidado del tipo de información que desea recibir cada usuario o tipo de usuario, y generar reportes de los resultados.</t>
  </si>
  <si>
    <t>El sistema debe presentar una sección para que el usuario edite y administre los datos de contacto suministrados en el registro de su perfil en el portal.</t>
  </si>
  <si>
    <t>El sistema debe incorporar una herramienta de seguridad que evite la creación de perfiles mediante un robot (Catch-up).</t>
  </si>
  <si>
    <t>El sistema debe evitar la inyección de código en los campos que pueden ser ingresados por el usuario.</t>
  </si>
  <si>
    <t>El sistema debe permitir generar alertas vía e-mail al administrador de perfiles definido, cuando se identifiquen usuarios que han sido bloqueados por intentos fallidos en el acceso a su perfil en el portal.</t>
  </si>
  <si>
    <t>El sistema debe permitir proteger determinadas secciones del portal teniendo en cuenta los roles y permisos de los diferentes usuarios para que solo puedan ser observadas por usuarios pertenecientes a un grupo particular.</t>
  </si>
  <si>
    <t>El sistema debe contener mecanismos para que el usuario pueda recordar su contraseña.</t>
  </si>
  <si>
    <t>El sistema debe permitir catalogar los usuarios registrados por grupos.</t>
  </si>
  <si>
    <t>El sistema debe contar con herramientas y controles para la definición de menús según perfiles de usuario o grupos de usuarios.</t>
  </si>
  <si>
    <t>El sistema debe contar con un módulo que proporcione servicios para integrar información categorizada a través del uso del estándar RSS, XML o ATOM, permitiendo canalizar información nueva de todos estos sitios hacia los usuarios del portal que lo requieran.</t>
  </si>
  <si>
    <t>El sistema debe permitir el uso de Google Analytics para conocer reportes de tráfico y acceso a los diferentes enlaces.</t>
  </si>
  <si>
    <t>Gestión y Administración de Contenidos de Intranet y Extranet</t>
  </si>
  <si>
    <t>Edición</t>
  </si>
  <si>
    <t>Navegación</t>
  </si>
  <si>
    <t>Atención en Línea</t>
  </si>
  <si>
    <t>Administración de Perfiles</t>
  </si>
  <si>
    <t>Comunicación otros sistemas internos</t>
  </si>
  <si>
    <t>El sistema debe permitir la gestión (ingreso, actualización, borrado y consulta) de contenido informativo tanto de intranet como de extranet. El contenido debe comprender información de Fogacoop e información de cada uno de los servicios que se ofrecen.</t>
  </si>
  <si>
    <t>El sistema debe permitir la publicación de información de Cooperativas afiliadas y no afiliadas al Fondo, así como de otras entidades asociadas (Ministerio de Hacienda, Supersolidaria, otros). Para estas compañías se debe ofrecer control del tiempo de publicación, estadísticas, cantidad de visitantes (por día, mes, semestre). Para algunos casos se debe permitir también la creación de links a las páginas de estos para revisar sus servicios.</t>
  </si>
  <si>
    <t>El sistema debe ofrecer la validación de contenidos teniendo en cuenta diferentes niveles de aprobación (cada nivel de acuerdo a los roles establecidos).</t>
  </si>
  <si>
    <t>El sistema debe permitir la gestión de plantillas y estructuras estandarizadas para la gestión del contenido, permitiendo configurar colores y formas para seguir la imagen corporativa del Fondo.</t>
  </si>
  <si>
    <t>El sistema debe permitir identificar la ubicación del usuario para determinar la información que se le debe presentar. Diferenciando en información para visitantes, cooperativas y colaboradores.</t>
  </si>
  <si>
    <t>El sistema debe permitir la funcionalidad de soporte o ayuda en línea a todos los visitantes sobre el contenido de la página o los servicios ofrecidos vía mensajería instantánea (Chat).</t>
  </si>
  <si>
    <t>El sistema debe permitirle al usuario hacer una selección parametrizada durante el registro de su perfil sobre información de interés (noticias, cursos, eventos, entre otros) y sobre qué tipo de información desearía recibir boletines o información al correo.</t>
  </si>
  <si>
    <t>El sistema debe permitir el registro de correspondencia que ingresa y sale del Fondo generando el número de radicación y registrando como mínimo los siguientes datos básicos: fecha, hora, número radicación, destinatario, unidad, nombre destinatario, nombre remitente, palabras clave, asunto, tipo de correspondencia, entre otros.</t>
  </si>
  <si>
    <t>El sistema debe permitir la publicación y la administración de las FAQ (preguntas frecuentes) a través del portal.</t>
  </si>
  <si>
    <t>El sistema debe permitir la comunicación en línea con los sistemas misionales del Fondo a través de servicios publicados en el portal y con autenticación Single Sign On.</t>
  </si>
  <si>
    <t>El sistema debe permitir realizar pagos en línea de acuerdo a los sistemas del Fondo para el pago de inscripciones, y primas de seguro</t>
  </si>
  <si>
    <t>El sistema debe permitir la publicación y gestión de boletines.</t>
  </si>
  <si>
    <t>El sistema debe incorporar el link: "convocatorias". En este link, el sistema debe permitir hacer publicaciones, y a los interesados, debe permitirles adjuntar sus hojas de vida o propuestas en archivo Word o PDF.</t>
  </si>
  <si>
    <t>El sistema debe estar certificado por el Open Group (http://www.opengroup.org) como servidor que cumple con el estándar LDAP v3, lo cual garantiza la interoperabilidad con las aplicaciones clientes que soportan LDAP.</t>
  </si>
  <si>
    <t>El sistema debe soportar el estándar de seguridad "Common Criteria Security Evaluations at EAL4".</t>
  </si>
  <si>
    <t xml:space="preserve">El sistema debe soportar la ejecución de múltiples procesos LDAP contra el mismo repositorio de datos del directorio LDAP v3. </t>
  </si>
  <si>
    <t>El sistema debe soportar el llamado de sistemas externos para validar las políticas de autorización.</t>
  </si>
  <si>
    <t>El sistema debe soportar la definición de solicitud de métodos de autenticación adicional en caso en que el recurso haya sido definido como de nivel de seguridad crítico.</t>
  </si>
  <si>
    <t>El sistema debe soportar cambios en línea al esquema del directorio sin necesidad de reinicializar los servicios del directorio.</t>
  </si>
  <si>
    <t>El sistema debe soportar y proveer servicios de administración delegada para habilitar a los usuarios o administradores de aplicaciones el crear y/o actualizar la información del directorio.</t>
  </si>
  <si>
    <t>El sistema debe presentar soporte Multi-Dominio SSO. Soporte SSO a aplicaciones web sobre múltiples web servers, los cuales pueden encontrarse en diferentes dominios de red.</t>
  </si>
  <si>
    <t>El sistema debe presentar soporte Multi-Aplicaciones SSO. Soporte a Identity Federation entre aplicaciones de la entidad y aplicaciones de otras entidades.</t>
  </si>
  <si>
    <t>El sistema debe presentar soporte a validar la autenticación contra un sistema, si las credenciales del usuario no se encuentran allí, ir a un segundo sistema.</t>
  </si>
  <si>
    <t>El sistema debe presentar soporte de autenticación y autorización de usuarios a través de aplicaciones presentes en otras entidades.</t>
  </si>
  <si>
    <t>El sistema debe proveer la habilidad de integrar políticas de autorización en el sistema de manejo de identidad sin necesidad de escribir el código.</t>
  </si>
  <si>
    <t>El sistema debe proveer una consola centralizada de administración web para todos los componentes del sistema de acceso y políticas de control de acceso.</t>
  </si>
  <si>
    <t>El sistema debe tener un repositorio único de datos. Dicho repositorio puede ser consultado por uno o más servicios de directorio LDAP v3.</t>
  </si>
  <si>
    <t>El sistema debe implementar niveles de autenticación de usuarios como anónimos, basados en contraseñas, y basados en certificados usando el protocolo de seguridad Secure Sockets Layer (SSL) v3 para autenticar el acceso y la privacidad de los datos.</t>
  </si>
  <si>
    <t>El sistema debe permitir mecanismos de carga masiva de definición de usuarios.</t>
  </si>
  <si>
    <t>El sistema debe otorgar servicios de autenticación y autorización, flexibles y seguros, que proporcionen protección para los datos.</t>
  </si>
  <si>
    <t>El sistema debe permitir a los clientes autenticarse antes de realizar consultas de nombres sobre la base del directorio LDAP.</t>
  </si>
  <si>
    <t>El sistema debe permitir el acceso al directorio LDAP desde múltiples plataformas de computación.</t>
  </si>
  <si>
    <t>El sistema debe proporcionar acceso mediante LDAP y utilizar un espacio de nombres basado en el Sistema de nombres de dominio (DNS).</t>
  </si>
  <si>
    <t xml:space="preserve">El sistema debe ser compatible con varios protocolos de autenticación, como el protocolo Kerberos v5, Secure Sockets Layer (SSL) v3, y Transport Layer Security (TLS), utilizando certificados X.509 v3. </t>
  </si>
  <si>
    <t>El sistema debe permitir que los administradores puedan decidir permitir o no el acceso anónimo a la información de servicios de la base de datos de un directorio.</t>
  </si>
  <si>
    <t>El sistema debe facilitar la configuración y administración de las aplicaciones y los componentes de red habilitados para el uso de directorios.</t>
  </si>
  <si>
    <t>El sistema debe permitir la delegación de la administración, es decir, el administrador puede delegar parte de su trabajo en otras cuentas en las que confía.</t>
  </si>
  <si>
    <t>El sistema debe permitir que los administradores puedan añadir nuevas clases de objetos en el esquema, y nuevos atributos a las clases de los objetos existentes. El esquema debe contener una definición de cada clase de objeto y los atributos de cada clase de objeto que se deben poder almacenar en el directorio.</t>
  </si>
  <si>
    <t>El sistema debe permitir crear estructuras de información jerárquicas de usuarios, grupos y en general de recursos de red, que simplifiquen el control de las credenciales administrativas y otras opciones de seguridad, y permitan a los usuarios localizar recursos de red como archivos e impresoras, con mayor facilidad.</t>
  </si>
  <si>
    <t>El sistema debe permitir el control de credenciales a través de estructuras jerárquicas.</t>
  </si>
  <si>
    <t>El sistema debe gestionar un sistema de nombres articulado y jerarquizado en múltiples niveles, agrupando todas las cuentas en unidades organizativas que se convertirán en unidades específicas de administración.</t>
  </si>
  <si>
    <t>El sistema debe permitir organizar y simplificar la administración de usuarios, equipos, aplicaciones y dispositivos, y facilitar a los usuarios la búsqueda de la información que necesitan.</t>
  </si>
  <si>
    <t>El sistema debe permitir que las políticas de grupo determinen el acceso a los objetos de directorio y los recursos del dominio. El sistema debe interpretar qué recursos del dominio (por ejemplo, aplicaciones) están disponibles para los usuarios, y cómo estos recursos de dominio son configurados para su uso.</t>
  </si>
  <si>
    <t>El sistema debe permitir administrar las tareas del LDAP a través de scripts o mediante aplicaciones con lenguajes de programación tradicionales orientados a objetos.</t>
  </si>
  <si>
    <t>El sistema debe permitir conceder a un grupo de administradores la capacidad de modificar la información de los usuarios para diferentes campos como: título del trabajo, número ID del empleado, nombre del departamento, número del departamento.</t>
  </si>
  <si>
    <t>El sistema debe permitir la definición y configuración de características de control sin necesidad de escribir código.</t>
  </si>
  <si>
    <t>El sistema debe proveer una herramienta de administración gráfica basada en Web para que los usuarios puedan administrar la información de sus propias cuentas.</t>
  </si>
  <si>
    <t xml:space="preserve">El sistema debe ser escalable para manejar grandes grupos de usuarios e interoperar con otros repositorios externos. </t>
  </si>
  <si>
    <t>El sistema debe poder escalarse hasta llegar a tener miles de objetos por cada dominio y utilizar tecnología de indización y técnicas de replicación avanzadas para aumentar el rendimiento.</t>
  </si>
  <si>
    <t>El sistema debe presentar todos sus datos en un solo almacén de datos distribuidos, permitiendo a los usuarios fácil acceso a la información desde cualquier lugar.</t>
  </si>
  <si>
    <t>El sistema debe ser expansible, permitiendo la inclusión de nuevas funcionalidades en el futuro.</t>
  </si>
  <si>
    <t>El sistema debe presentar una estructura de base de datos expansible para permitir tipos de información personalizada.</t>
  </si>
  <si>
    <t>El sistema debe proporcionar toda la información necesaria sobre directivas de seguridad y las cuentas de acceso al sistema de cada usuario o grupos de ellos.</t>
  </si>
  <si>
    <t>El sistema debe presentar soporte a Certificados Digitales como método de autenticación.</t>
  </si>
  <si>
    <t>El sistema debe presentar soporte a Kerberos como método de autenticación.</t>
  </si>
  <si>
    <t>El sistema debe presentar soporte a SecurID como método de autenticación.</t>
  </si>
  <si>
    <t>El sistema debe presentar soporte a biométricos como método de autenticación.</t>
  </si>
  <si>
    <t>El sistema debe garantizar siempre que los datos empaquetados provienen de una fuente conocida y que no ha sido manipulado.</t>
  </si>
  <si>
    <t>El sistema permite que el servicio de autenticación y autorización se use a través de internet de manera segura.</t>
  </si>
  <si>
    <t>El sistema debe poder integrarse con otras aplicaciones, los cuales posee su propio servidor de directorio o repositorio de usuarios separado.</t>
  </si>
  <si>
    <t>El sistema debe constar de un grupo de interfaces y servicios incorporados que facilitan el control de acceso, la conexión única, la administración de perfiles de usuarios y la sincronización.</t>
  </si>
  <si>
    <t>Gestión Documental - Flujo y manejo documental</t>
  </si>
  <si>
    <t>Software de servicios</t>
  </si>
  <si>
    <t>Accesibilidad - Autentificación, Autorización</t>
  </si>
  <si>
    <t>Administración</t>
  </si>
  <si>
    <t>Escalabilidad</t>
  </si>
  <si>
    <t>Replicación de información</t>
  </si>
  <si>
    <t>Seguridad de la Información</t>
  </si>
  <si>
    <t>Expansibilidad</t>
  </si>
  <si>
    <t>Integración</t>
  </si>
  <si>
    <t>El sistema debe ofrecer compatibilidad de aplicaciones y servicios con navegadores como Google Chrome, Internet Explorer, Mozilla Firefox, Netscape, Opera, Safari.</t>
  </si>
  <si>
    <t>El sistema debe permitir la definición del máximo número de intentos de acceso y generar una alarma al administrador en caso de que un usuario supere el límite.</t>
  </si>
  <si>
    <t>El sistema debe ofrecer un log detallado que permita establecer las acciones efectuadas por los usuarios sobre el sistema a nivel de administración de seguridad.</t>
  </si>
  <si>
    <t>El sistema debe permitir  la administración  de  versiones  para  documentos, artículos, páginas e información publicada, así como la consulta o recuperación de versiones previas.</t>
  </si>
  <si>
    <t>El sistema debe contener tutoriales en línea para el aprendizaje de la operación del sistema.</t>
  </si>
  <si>
    <t>El sistema debe proporcionar facilidades de ayuda en línea a nivel de pantalla y campos.</t>
  </si>
  <si>
    <t>El sistema debe permitir parametrizar los derechos de accesos a usuarios.</t>
  </si>
  <si>
    <t>El sistema debe contar con herramientas y controles para la definición de menús según perfiles de usuario o grupos de usuarios</t>
  </si>
  <si>
    <t>El sistema debe permitir la generación de reportes sobre las acciones realizadas por usuario.</t>
  </si>
  <si>
    <t>El sistema debe permitir manejar auditoria de los cambios realizados en los registros de las bases de datos.</t>
  </si>
  <si>
    <t>El sistema debe permitir la generación de copias de seguridad (backups)</t>
  </si>
  <si>
    <t>El sistema debe permitir gestionar los mensajes de error, mensajes de confirmación, entre otros.</t>
  </si>
  <si>
    <t>El sistema debe permitir facilidades de usuario final para la generación de consultas y reportes sin necesitar conocimientos en lenguajes de programación.</t>
  </si>
  <si>
    <t>El sistema debe contar con documentación técnica y de usuario en idioma español.</t>
  </si>
  <si>
    <t>El sistema debe proporcionar la documentación de administración y mantenimiento de las aplicaciones y las bases de datos.</t>
  </si>
  <si>
    <t>El sistema debe contar con herramientas y controles de desconexión automática de sesiones de usuario por inactividad</t>
  </si>
  <si>
    <t>El sistema debe permitir la integración de un motor de búsqueda información publicada, como vínculos, archivos, documentos, usuarios, entre otros,</t>
  </si>
  <si>
    <t>El sistema debe contener un motor de indexación automático que permita indexar toda información publicada en el motor de búsqueda.</t>
  </si>
  <si>
    <t>El sistema debe proporcionar un nivel de servicio de tiempo de actividades del 99,9%</t>
  </si>
  <si>
    <t>El sistema debe cumplir con esquemas de disponibilidad y soporte 7 días a la semana, 24 horas al día y 365 días al año (7x24x365)</t>
  </si>
  <si>
    <t>El sistema debe presentar un modelo como estructura de negocio que involucre Intranet, Extranet e Internet.</t>
  </si>
  <si>
    <t>El sistema debe permitir el intercambio de información y la presentación de forma 100%  Web.</t>
  </si>
  <si>
    <t>El sistema debe contar con interfaces gráficas de usuario que brinden facilidad y rapidez en la navegación de sus contenidos.</t>
  </si>
  <si>
    <t>El sistema debe contar con servicios que permitan la integración de transformadores de información basados en XML, que den la posibilidad de adaptar la información a diversos dispositivos del usuario o canales de salida, tales como voz, mensajes, etc.</t>
  </si>
  <si>
    <t>El sistema debe soportar protocolos estándar de comunicaciones como: SOAP, HTTP, HTTPS, SMTP, FTP, RPC.</t>
  </si>
  <si>
    <t>Gestión Documental - Correspondencia y Solicitudes</t>
  </si>
  <si>
    <t>El sistema debe estar alineado a los colores e imagen corporativa del Fondo.</t>
  </si>
  <si>
    <t>El sistema debe facilitar el acceso a los servicios de aplicaciones que pueden ser accedidos a través del portal.  Entre las aplicaciones se deben tener en cuenta las siguientes:
- SIG II
- Cargue de Información Cooperativas
- Videoconferencias
- Solicitudes de Apoyo
- Cargue de Información y actualización de actividades por parte de Liquidadores, Agentes especiales, otros.
- Consulta estado de trámites
- Consulta cálculo valor de prima de seguro
- Proyecciones financieras
- Administración de la Reserva</t>
  </si>
  <si>
    <t>El sistema debe permitir crear una serie de actividades, tipo cronograma, como un programa a cumplir en determinado periodo de tiempo, con responsables, recursos y fechas.</t>
  </si>
  <si>
    <t>El sistema debe permitir realizar informes respecto al cumplimiento de las diferentes actividades realizadas, y compararlas frente al plan original aprobado, obteniendo diferencias de fecha de finalización, cuales fueron ejecutadas y cuales no, cuales aún no han sido ejecutadas, fecha final del programa, entre otros</t>
  </si>
  <si>
    <t>El sistema debe avisar al tercero que envía información que los campos en los formularios se encuentran o no correctos, y generar un reporte de inconsistencias antes de su envió efectivo</t>
  </si>
  <si>
    <t>El sistema debe permitir el diseño de validaciones de campos obligatorios y opcionales, así como validaciones de formato de los datos como texto, número, moneda, porcentaje, carácteres especiales, espacios en blanco.</t>
  </si>
  <si>
    <t>El sistema debe permitir diseñar reglas de validación sobre los registros en la captura de información frente a la información histórica, ejemplo variaciones porcentuales en montos, número de registros, consolidados, conteos, fragmentación de cuentas.</t>
  </si>
  <si>
    <t>El sistema debe permitir la automatización de procesos y flujos de trabajo. Entre la información que debe incluir por lo menos se debe tener en cuenta:
- Actividades
- Eventos
- Sub procesos (si se requiere en el proceso)
- Condicionales (gateways)
- Responsables
- Flujos entre actividades
- Punto de inicio y fin
- Datos de entrada y salida por actividad
- Información de deshacer y Transacciones de compensación</t>
  </si>
  <si>
    <t>El sistema debe permitir realizar retransmisiones de información totales o parciales por parte de las cooperativas, la información anterior enviada por la cooperativa debe ser conservada, y se debe poder consultar un registro donde quede la trazabilidad de cambios en la información, indicando campos ajustados, fecha, hora, usuario, número de cambio. Estas retransmisiones deben tenerse en cuenta como un proceso nuevo en los flujos de información.</t>
  </si>
  <si>
    <t>La información de pagarés que se deben adicionar en uno de los formularios (Formato Relación títulos valores), debe ser comparada frente a la información que se encuentra en el sistema y cumplir con unas condiciones parametrizables (cartera calificada en "A" durante toda la vida del crédito, el valor solicitado no debe ser mayor al pago que se realizaría por seguro de depósito, el valor de los págares debe cubrir el 140% del valor solicitado, entre otras), si no es así debe generar la alerta del registro que no cumple</t>
  </si>
  <si>
    <t>El sistema debe generar indicadores y agregados de información parametrizables a manera de informes, para que el profesional pueda generar un concepto y continué el proceso</t>
  </si>
  <si>
    <t>El sistema debe soportar el manejo de flujos de aprobación del alcance de proceso, actividad, y permitir configurar escalamanientos con base en reglas de vencimiento, tiempo de respuesta, montos, entre otros. Tanto los flujos como los escalamientos se deben configurar a nivel de usuario o rol.</t>
  </si>
  <si>
    <t>El sistema debe permitir que más de un área de aprobación pueda cerrar procesos o actividades, y comunicación para el inicio de otros procesos, en este caso debe informar a tesorería que se necesita de un monto de reserva para generar una operación de apoyo y la secretaria general se debe informar que llegarán documentos físicos para el perfeccionamiento del apoyo, y esta es en última instancia quien emite la aprobación sobre los documentos para iniciar la ejecución.</t>
  </si>
  <si>
    <t>El sistema debe permitir que más de un área de aprobación pueda cerrar procesos o actividades, y generar comunicaciones para el inicio de otros procesos</t>
  </si>
  <si>
    <t>El sistema debe permitir generar un listado de agentes especiales /liquidadores/ contralores, a partir de unos filtros parametrizables</t>
  </si>
  <si>
    <t>El sistema debe permitir la generación de invitaciones vía correo electrónico hacia las entidades ejecutoras / entidades de divulgación / notificadoras / pagadoras / operadores logísticos para un proceso de Pago de Seguro. Interacción con la Gestión Documental y el sistema de correo.</t>
  </si>
  <si>
    <t>El sistema debe permitir la generación de invitaciones vía correo electrónico hacia las entidades administradores de activos para la Gestión de Activos. Interacción con la Gestión Documental y el sistema de correo.</t>
  </si>
  <si>
    <t xml:space="preserve">El sistema debe permitir grabar de forma parcial las solicitudes y guardar de manera automática los datos que se hayan ingresado, si falla la comunicación, además de permitir luego, continuar con el proceso de diligenciamiento. </t>
  </si>
  <si>
    <t>El sistema debe permitir la configuración de transacciones de compensación, en los flujos de trabajo, que puedan invocarse durante la vida del flujo de trabajo o posteriormente, es decir días o meses posteriores al fin del proceso.</t>
  </si>
  <si>
    <t>El sistema debe generar un reporte que incluya las actividades que estaban relacionadas con documentos almacenados en el gestor documental.</t>
  </si>
  <si>
    <t>El sistema debe generar rótulos adhesivos para identificar las cajas y las carpetas en las que se almacenan documentos.</t>
  </si>
  <si>
    <t>El sistema debe permitir delegar con seguridad la lectura y modificación de datos, basado en autorizaciones según las necesidades utilizando ACLs (Lista de Control de Acceso).</t>
  </si>
  <si>
    <t>El sistema debe contar con un sistema de ayuda en línea parametrizable.</t>
  </si>
  <si>
    <t>El sistema debe permitir generar un reporte que indique el estado del flujo de un documento en particular.</t>
  </si>
  <si>
    <t>El sistema debe permitir generar una "encuesta" de satisfacción sobre el proceso, respuesta de otros procesos, áreas, personas</t>
  </si>
  <si>
    <r>
      <t>El sistema debe permitir gestionar la configuración de Tablas de Retención Documental (TRD) para la gestión del ciclo de vida de cada documen</t>
    </r>
    <r>
      <rPr>
        <sz val="10"/>
        <color indexed="8"/>
        <rFont val="Arial"/>
        <family val="2"/>
      </rPr>
      <t>to físico. Solo por el Administrador.</t>
    </r>
  </si>
  <si>
    <t>El sistema debe permitir la parametrización de las listas de distribución de correspondencia entrante y saliente por lotes, de manera que se agilice el proceso de distribución. (Como ejemplo: Comunicados que deben llegar a todas las áreas).</t>
  </si>
  <si>
    <t>El sistema debe permitir la generación de invitaciones vía correo electrónico hacia los terceros (agentes especiales / liquidadores / contralores / Administradores), para un proceso de apoyo particular. Interacción con la Gestión Documental y el sistema de correo.</t>
  </si>
  <si>
    <t>El sistema debe permitir configurar un conjunto de reglas que permitan calcular el valor a pagar por los servicios prestados de los terceros contratados tanto individual como consolidado.</t>
  </si>
  <si>
    <t>El sistema debe transmitir la información de desembolso de operaciones de apoyo con monto, beneficiario, fecha e identificación de la operación, entre otras, al ERP (Heinsohn Apoteosys).</t>
  </si>
  <si>
    <t xml:space="preserve">El sistema debe permitir registrar el conjunto de títulos de la cartera con atributos de: due dilligence, revisión en centrales de riesgo, endoso, rendimientos, liquidez, calificación, devolución de un conjunto de títulos (pagarés), otra información. </t>
  </si>
  <si>
    <t>El sistema debe permitir consolidar la información de seguimiento de los indicadores de riesgo de liquidez, condiciones del convenio y ajuste a las proyecciones de las entidades en apoyo.</t>
  </si>
  <si>
    <t>El sistema debe permitir generar reportes personalizados, para el análisis, de la información disponible de las operaciones de apoyo. Debe permitir consolidar, y comparar de manera gráfica y analítica proyecciones con modelos parametrizables, sobre la información histórica de las actividades realizadas en el ciclo de vida de la operación de apoyo. puede quedar en el mismo aneterior.</t>
  </si>
  <si>
    <t>En el sistema se debe poder capturar la información de inflación, DTF, y otras variables macroeconómicas, y se tome dicha información para cálculo en diferentes procesos</t>
  </si>
  <si>
    <t>El sistema debe permitir que se pueda observar toda la información de la cooperativa a través del sistema ("biografía" de la cooperativa, cambios de nombre, cambios de estado, cambios de gerente, fechas de cambio, pagos, operaciones de apoyo, convenios, fecha de inscripción, indicadores históricos, entre otros), incluyendo los indicadores con los que se tomo la decisión de iniciar el proceso de intervención</t>
  </si>
  <si>
    <t>El sistema debe poder realizar el cambio de estado del proceso de intervención (cerrado - regresa a seguimiento normal, salida ordenada, otros cambios de proceso, cierre definitivo de la entidad), debe permitir el adjunto de soportes a la toma de decisión.</t>
  </si>
  <si>
    <t>El sistema debe permitir la configuración de reglas de intereses de mora, cargos adicionales, prorrateos y pagos parciales sobre el valor de las primas.</t>
  </si>
  <si>
    <t xml:space="preserve">El sistema debe permitir la generación de reportes y la construcción de informes de pagos por diversos criterios, (segmentación, sector del inscrito, tamaño, volumen de ahorradores, entre otros). </t>
  </si>
  <si>
    <t>El sistema debe permitir mínimo, realizar comparación de los indicadores o modelos como (MAT, CAME, Brecha de liquidez, niveles de endeudamiento, nivel de ahorros, niveles de préstamo, y otros definidos), frente a agregados por región, tipo de cooperativa, tamaño de cooperativa, endeudamiento, niveles de liquidez, niveles de aportes, riesgo de tasa de interes y riesgo crediticio u otras comparaciones definibles. Estas comparaciones deben ser totalmente parametrizables en el sistema.</t>
  </si>
  <si>
    <t>El sistema debe permitir la creación y definición de rutas de trabajo para el flujo de documentos. Cada flujo de documento debe incluir por lo menos la siguiente información:
- Actividades
- Condicionales
- Tiempos definidos para aprobaciones de actividades en el flujo de documentos
- Responsables
- Tipo de documento
- Origen
- Destino: sistema, área, grupo o persona responsable a quien se le asigna
- Inicio, fin
- Otros que sean necesarios para la ejecución del flujo de documentos</t>
  </si>
  <si>
    <t>El sistema debe permitir por cada documento asociar información como: nombre, descripción, resumen, tipo, fechas, formato, número de versión, listado de palabras clave, categoría a la que pertenece, serie documental, entre otras.</t>
  </si>
  <si>
    <t>El sistema debe guardar todos los comunicados realizados desde la entidad a redes sociales, a SMS, e-mail, portal, previa autorización por el flujo de aprobación en el sistema</t>
  </si>
  <si>
    <r>
      <t>El sistema debe permitir gestionar la configuración de Tablas de Retención Documental (TRD) para la gestión del ciclo de vida de cada documen</t>
    </r>
    <r>
      <rPr>
        <sz val="10"/>
        <color indexed="8"/>
        <rFont val="Arial"/>
        <family val="2"/>
      </rPr>
      <t>to. Solo por el administrador.</t>
    </r>
  </si>
  <si>
    <t>El sistema debe imprimir un autoadhesivo o rótulo de radicación para la correspondencia entrante cuando esta sea física.</t>
  </si>
  <si>
    <t>El sistema debe permitir transferencias generando alarmas cuando se deba efectuar la transferencia de un documento desde el archivo de gestión hacia el archivo central y/o desde el archivo central hacia el archivo histórico, realizando automáticamente la transferencia del documento digital o electrónico al archivo correspondiente, conservando su trazabilidad y referencias asociadas.</t>
  </si>
  <si>
    <t>El sistema debe generar código único y una ubicación de los documentos físicos.</t>
  </si>
  <si>
    <t>El sistema debe generar un reporte que muestre los documentos prestados a un usuario particular, prestados no devueltos, el funcionario que lo prestó, la fecha de préstamo, la fecha de devolución establecida, si el plazo se ha vencido o no, observaciones.</t>
  </si>
  <si>
    <t>AAAAAHub7Ng=</t>
  </si>
  <si>
    <t>AAAAAHub7Nk=</t>
  </si>
  <si>
    <t>AAAAAHub7No=</t>
  </si>
  <si>
    <t>AAAAAHub7Ns=</t>
  </si>
  <si>
    <t>AAAAAHub7Nw=</t>
  </si>
  <si>
    <t>AAAAAHub7N0=</t>
  </si>
  <si>
    <t>AAAAAHub7N4=</t>
  </si>
  <si>
    <t>AAAAAHub7N8=</t>
  </si>
  <si>
    <t>AAAAAHub7OA=</t>
  </si>
  <si>
    <t>AAAAAHub7OE=</t>
  </si>
  <si>
    <t>AAAAAHub7OI=</t>
  </si>
  <si>
    <t>AAAAAHub7OM=</t>
  </si>
  <si>
    <t>AAAAAHub7OQ=</t>
  </si>
  <si>
    <t>AAAAAHub7OU=</t>
  </si>
  <si>
    <t>AAAAAHub7OY=</t>
  </si>
  <si>
    <t>AAAAAHub7Oc=</t>
  </si>
  <si>
    <t>AAAAAHub7Og=</t>
  </si>
  <si>
    <t>AAAAAHub7Ok=</t>
  </si>
  <si>
    <t>AAAAAHub7Oo=</t>
  </si>
  <si>
    <t>El sistema debe permitir la creación de agregados parametrizables. Los agregados se refieren a grupos de cooperativas, segmentados por características como tamaño, sector, ubicación geográfica, u otro atributo de las cooperativas que permita la conformación de grupos.</t>
  </si>
  <si>
    <t>El sistema debe permitir la configuración de las reglas de liquidación por tipo de cooperativa. Tanto los tipos de cooperativa como las reglas a las que cada tipo esta sujeto, deben ser entidades administrables (se deben poder agregar, eliminar, editar y consultar).</t>
  </si>
  <si>
    <t>Respecto al pago, el sistema debe permitir generar la información contable necesaria para el sistema ERP. La estructura de esta información debe ser parametrizable.</t>
  </si>
  <si>
    <t>Respecto al pago, el sistema debe permitir realizar las causaciones contables necesarias del proceso, sobre el sistema ERP. Estas causaciones deben ser parametrizables.</t>
  </si>
  <si>
    <t>Respecto al pago, el sistema debe permitir realizar las afectaciones y ajustes contables necesarios del proceso, sobre el sistema ERP. Estas afectaciones y ajustes deben ser parametrizables.</t>
  </si>
  <si>
    <t>El sistema debe permitir la configuración de reglas de liquidación del valor de los derechos de inscripción. Las reglas deben permitir referencias a la estructura de la información financiera, formulaciones, condicionales, redondeos entre otros (la información de los inscritos se considera ya disponible en el sistema).</t>
  </si>
  <si>
    <t>El sistema debe permitir la configuración de reglas de intereses de mora, cargos adicionales, prorrateos y pagos parciales sobre el valor de la inscripción.</t>
  </si>
  <si>
    <t>El sistema debe poder generar consolidados de los pagos recibidos por concepto de inscripciones en el sistema, generar diferencias y permitir generar procesos de ajuste a estas diferencias.</t>
  </si>
  <si>
    <t>El sistema debe permitir la desagregación del pago en varios conceptos como valor base, parámetros con los que se calculó la liquidación, existencia de novedades, costos de agencia, intereses de mora u otros que permitan detallar y distribuir las afectaciones contables, o efectuar las actividades de análisis que se definan.</t>
  </si>
  <si>
    <t>El sistema debe permitir visualizar tanto para usuarios externos (cooperativas) como para usuarios internos (funcionarios del fondo),  los detalles de la solicitud de inscripción, la información enviada por la cooperativa, el estado de una inscripción y sus detalles, el valor de la liquidación de la inscripción y otros atributos, de acuerdo a un nivel de autorización, y a la configuración de que atributos son visibles y cuales no.</t>
  </si>
  <si>
    <t>El sistema de generar reportes e informes consolidados de seguimiento y control del estado de las inscripciones y los pagos, desagregados por los criterios de segmentación de las cooperativas, o por los conceptos por los que se descompone un pago.</t>
  </si>
  <si>
    <t>El sistema debe permitir la generación de reportes y la construcción de informes sobre información de periodos históricos parametrizables. De acuerdo a criterios de segmentación definibles. Por ejemplo, consultar el historico de pagos vencidos para entidades definidas como medianas.</t>
  </si>
  <si>
    <t>El sistema debe permitir la generación de reportes y la construcción de informes sobre proyecciones de información de los pagos de la prima, de periodos históricos y modelos predictivos, de manera parametrizable, de acuerdo a criterios de segmentación definibles. Por ejemplo, proyectar los pagos para las entidades definidas de ahorro y crédito.</t>
  </si>
  <si>
    <t>El sistema debe permitir la generación de reportes y la construcción de informes sobre el proceso de gestión del cobro de las primas, sobre el tipo, estado y éxito de las gestiones, de acuerdo a criterios de segmentación definibles. Por ejemplo, consultar el número de llamadas realizadas para  gestion de cobro a las entidades ubicadas en la Amazonia.</t>
  </si>
  <si>
    <t>El sistema debe permitir la configuración de reglas de liquidación del valor de las primas, sobre la posición neta / costos de agencia, balances, estados financieros e informes financieros desagregados e históricos de las entidades inscritas, las reglas deben permitir formulaciones, condicionales, redondeos entre otros. (La información de los inscritos se considera ya disponibles en el sistema)</t>
  </si>
  <si>
    <t xml:space="preserve">El sistema debe permitir la administración paramétrica del porcentaje aplicable por concepto de costos de agencia, para esto, en particular debe ser posible incluir reglas de liquidación sobre el valor de la posición neta del inscrito y permitir diseñar validaciones al respecto, para esto debe ser posible manejar estados relacionados con el concepto de costos de agencia/posición neta: posición neta en cero, no disponible, positiva o negativa.
</t>
  </si>
  <si>
    <t>El sistema debe permitir la parametrización de un procedimiento de evaluación y comportamiento de los movimientos de depósitos, aportes y créditos de los miembros privilegiados de las cooperativas que permitan la detección e informe de casos atípicos.</t>
  </si>
  <si>
    <t>El sistema debe permitir la parametrización de un procedimiento de auditoria sobre la consistencia de la información de los miembros privilegiados, como la  verificación de nombramientos y relación con la posición neta.</t>
  </si>
  <si>
    <t>En particular, el sistema debe liquidar la prima y permitir ver el total y el detalle de la liquidación hecha por el Fondo, para que sea comparable con la autoliquidación del inscrito.</t>
  </si>
  <si>
    <t>El sistema debe permitir la programación, registro, seguimiento y control de las llamadas, asociadas a las actividades del cobro de las primas  y a las alertas, alarmas y notificaciones que se generen hacia las entidades inscritas.</t>
  </si>
  <si>
    <t>El sistema debe permitir la consulta histórica de información, reportes personalizados de información de una cooperativa, reportes estándar y parametrizables.</t>
  </si>
  <si>
    <t>El sistema debe permitir generar un informe consolidado sobre el proceso de intervención, con fechas, responsables y resultados del mismo, de acuerdo a la información recolectada.</t>
  </si>
  <si>
    <t>El sistema debe permitir el registro del seguimiento realizado por parte del usuario, sobre los pagos y otros que deban ser consignado en el sistema y la información detallada enviada por el administrador, como, fechas de pago, beneficiarios, montos, reclamaciones juridicas y otros atributos que se definan.</t>
  </si>
  <si>
    <t>El sistema debe permitir la recepción y planeación, de pago anticipado, esto es anterior al inicio del proceso normal, efectuar pagos y control sobre los mismos.</t>
  </si>
  <si>
    <t>El sistema debe ser flexible y generar nuevos cálculos desde muchos meses atrás cuando existan retransmisiones, la información anterior debe ser guardada para permitir mostrar la trazabilidad, pero el sistema solo debe tomar para comparación los nuevos datos</t>
  </si>
  <si>
    <t>El sistema debe proveer un repositorio de documentos relacionados con las actividades de coordinación interinstitucional</t>
  </si>
  <si>
    <t>El sistema debe proveer un repositorio de documentos relacionados con las actividades de promoción de proyectos regulatorios y políticas, del sector cooperativo.</t>
  </si>
  <si>
    <t>El sistema debe permitir el registro de una agenda temática de capacitación. La agenda temática debe contener una serie de eventos, cursos, seminarios, capacitaciones, conferencias y otros, con responsables, tiempos y organización de tareas (cronograma).</t>
  </si>
  <si>
    <t>El sistema debe permitir realizar seguimiento a la agenda temática de capacitación. Con reportes de avance, alertas, alarmas y notificaciones.</t>
  </si>
  <si>
    <t xml:space="preserve">El sistema debe permitir registrar los contenidos de los eventos, cursos, seminarios, capacitaciones, conferencias y otros, como una lista de items con tipo, nombre, descripción y otros atributos parametrizables. </t>
  </si>
  <si>
    <t>El sistema debe permitir divulgar las listas de contenidos, y el contenido mismo de la agenda temática en los canales del sistema (portal, listas de sindicación, integración con redes sociales, sms, u otros canales).</t>
  </si>
  <si>
    <t>La información de las encuestas, que se generen para las capacitaciones, deben poderse relacionar con las agendas temáticas, y los contenidos de estas para conseguir evaluar, numero de asistentes, percepción del programa, calidad de los contenidos o del expositor entre otros.</t>
  </si>
  <si>
    <t>El sistema debe permitir realizar proyecciones a los indicadores, balances, cuentas y reportes de cooperativas teniendo en cuenta su información histórica hasta máximo dos años</t>
  </si>
  <si>
    <t>El sistema debe permitir configurar un conjunto de reglas, y dejar registro de un conjunto de políticas, para la evaluación de la prestación de la operación de apoyo. Estas reglas y politicas tienen que ver con restricciones y condiciones financieras, de riesgo, de garantias, sobre convenios y otras condiciones especiales que se definiran.</t>
  </si>
  <si>
    <t>El sistema debe permitir realizar seguimiento al  conjunto de reglas, y  políticas, definidas en la evaluación de la prestación de la operación de apoyo. Debe ser posible generar alertas, alarmas y notificaciones, programar tareas, y consolidar informes sobre el cumplimiento y ajuste a estas reglas y políticas.</t>
  </si>
  <si>
    <t xml:space="preserve">El sistema debe permitir consolidar un reporte del estado del proceso de apoyo de cara al solicitante (entidad cooperativa) , a través de los canales del sistema (portal u otros), este debe contener los detalles  de la operacion de apoyo, los consolidados de pagos, el detalle de progreso, informes de estado, los soportes de la decisión del proceso siguiente, como endoso, u otros como intervención, salida ordenada u otros que se definan.
</t>
  </si>
  <si>
    <t>El sistema debe permitir que un usuario esté en más de un equipo que intervenga en un flujo de trabajo.</t>
  </si>
  <si>
    <t>El sistema debe permitir adicionar firma digital a un documento y debe permitir configurar a nivel de proceso y actividad, que tipos de comunicados necesitan firmarse digitalmente.</t>
  </si>
  <si>
    <t xml:space="preserve">El sistema debe permitir recibir y verificar los documentos firmados digitalmente, recibir las confirmaciones de recibos de documentos firmados digitalmente y otros afines. </t>
  </si>
  <si>
    <t>El sistema debe permitir incluir observaciones, de las remisiones de documentos.</t>
  </si>
  <si>
    <t>El sistema debe permitir el almacenamiento seguro de llaves públicas y privadas.</t>
  </si>
  <si>
    <t xml:space="preserve">En el caso se cambios en las series o tablas de retención, el sistema debe permitir un mecanico de homologación de series y tablas anteriores, con las actuales. </t>
  </si>
  <si>
    <t>El sistema debe permitir la consulta del historico de solicitudes por solicitante cada vez que llega una solicitud.</t>
  </si>
  <si>
    <t>El sistema debe permitir la exportación de un listado de llamadas o de una interfaz que favorezca la integración de un sistema de generación y encolamiento telefónico IP o PBX.</t>
  </si>
  <si>
    <t>El sistema debe permitir que el profesional coloque marcas especiales en el seguimiento de las cooperativas (Apoyo corto plazo, Apoyo Largo plazo, Convenio, Toma de posesión, Liquidación, Participación patrimonial) y estas deben generar notificaciones de acuerdo al flujo de trabajo y/o a otros procesos como alertas, y generación de nuevos formatos para reporte de nueva información por parte de las cooperativas como flujos de caja, relaciones de titulos valores, reportes de saldos diarios, PUC histórico y proyectado, entre otra información.</t>
  </si>
  <si>
    <t>El sistema debe permitir la generación de un reporte consolidado de los pagos por entidad, incluida la gestión de notificaciones, cobros y demás actividades que se hayan realizado durante el proceso, este reporte debe permitir herramientas de análisis  básico, como filtros, búsqueda y agrupación por sector, también debe permitir revisar montos, en qué entidades, y en fechas.</t>
  </si>
  <si>
    <t>El sistema debe permitir transmitir los valores de la prima causada y pendiente de pago, de acuerdo a una periodicidad, formato y otros parámetros, al ente de control y supervisión.</t>
  </si>
  <si>
    <t>El sistema debe permitir la configuración de reglas de cálculo del valor del pago del seguro de depósito, referenciando la información financiera disponible de la cooperativas y ahorradores, permitiendo la formulación con condicionales, redondeos y afines, según las políticas del fondo.</t>
  </si>
  <si>
    <t>El sistema debe permitir ejercer el control sobre la acreencia, y permitir la recepción de novedades, como cambios de titularidad, control sobre apoderados o titulares, cambios en valores de los depósitos y otras novedades que se definan.</t>
  </si>
  <si>
    <t>El sistema debe permitir la personalización de los flujos documentales (ad-hoc).</t>
  </si>
  <si>
    <t>El sistema debe permitir la definición de una plantilla electrónica de envió y remisión de correspondencia. Que incluya estampa de tiempo, número de radicado de salida, remitente, fecha y hora entre otros, además de contenido y anexos. Debe ser parametrizable para los documentos hacia fuera de la organización y debe almacenarse de forma que conserve las características de acervo probatorio, conforme a la legislación, debe ser posible su uso desde los puntos de emisión de comunicados, del todos los sistemas, como correos, notificaciones, portal.</t>
  </si>
  <si>
    <t>El sistema debe permitir generar número de radicado de ingreso y de salida.</t>
  </si>
  <si>
    <t>El sistema debe permitir la interacción total con todos los sistemas de información para guardar todos los documentos generados con unos metadatos establecidos automáticamente, ejemplo: número de solicitud, tipo de solicitud, número de publicación, tipo de publicación, realizado por, aprobado por, entre otros.</t>
  </si>
  <si>
    <t>El sistema debe permitir el reconocimiento de carácteres a digitalizar a través de OCR para captura de información a través de formularios estandarizados.</t>
  </si>
  <si>
    <t>El sistema debe permitir el control de los documentos que se manejan en soporte físico, discriminando cuáles se encuentran en el archivo de gestión, central e histórico.</t>
  </si>
  <si>
    <t>El sistema debe permitir a través de flujo de trabajo definir la persona a quién se envía una solicitud, así como dado el caso, a quién se le informa sobre el estado o el responsable de responder dicha solicitud.</t>
  </si>
  <si>
    <t>El sistema debe generar una alerta si el mismo usuario ha generado una solicitud anteriormente (alerta por número de cédula, usuario, otro) y mostrar el histórico, este histórico debe permitir filtros por tipo de solicitud.</t>
  </si>
  <si>
    <t>El sistema debe permitir la creación de versión para imprimir los contenidos publicados.</t>
  </si>
  <si>
    <t>Implementar operaciones de apoyo de corto y largo plazo</t>
  </si>
  <si>
    <t>Divulgar el seguro de depósito</t>
  </si>
  <si>
    <t>El mecanismo de administración de eventos, que gestiona alarmas, alertas y notificaciones, debe ser consumido por todas las aplicaciones que demanden estos servicios, y debe ser el único que provee tales servicios, consiguiendo que la propagación de estos eventos y su administración se pueda realizar de manera centralizada y uniforme.</t>
  </si>
  <si>
    <t>El sistema debe permitir configurar eventos (alarmas, alertas, notificaciones)  que se integren a los flujos de proceso y de documentos.</t>
  </si>
  <si>
    <t>El sistema debe permitir configurar cadenas de escalamiento (alarmas, alertas, notificaciones)  que permitan, de acuerdo a eventos, notificar a otros responsables, para llevar una solicitud o tarea a otro nivel de escalamiento de manera automática.</t>
  </si>
  <si>
    <t>El sistema debe permitir guardar una traza de todos los mensajes enviados desde el sistema, como mensajes de texto SMS o correos electrónicos. Los datos de que contenga esta traza deben poder parametrizarse.</t>
  </si>
  <si>
    <t>El sistema debe permitir el registro de la inscripción de una entidad cooperativa (con usuario, fecha, hora), del concepto emitido por los profesionales (de varias áreas) , modalidad de inscripción, entre otros atributos de la inscripción.</t>
  </si>
  <si>
    <t>El sistema debe permitir la generación de un reporte consolidado de los pagos por entidad cooperativa, incluida la gestión de notificaciones, cobros y demás actividades que se hayan realizado durante el proceso, este reporte debe permitir herramientas de análisis  básico, como filtros, búsqueda y agrupación por sector, tambien debe permitir revisar montos, en que entidades, y en fechas.</t>
  </si>
  <si>
    <t>El sistema debe permitir la planeación y control de pagos fraccionados, es decir la entrega en diversas fechas y montos del dinero a los beneficiarios.</t>
  </si>
  <si>
    <t>El sistema debe permitir crear actividades dentro de otras actividades (subactividades) y debe permitir vincular subprocesos desde las actividades, que tengan los mismos atributos de las actividades, y también se les pueda realizar seguimiento.</t>
  </si>
  <si>
    <t>El sistema debe permitir elaborar la liquidación del convenio y el registro de esta operación así como la generación de causaciones y asientos contables parametrizables para los procesos que lo requieren (apoyo e intervención)</t>
  </si>
  <si>
    <t xml:space="preserve">El sistema debe tomar la información de captura (Ver pestaña de Captura y Formularios), reportada por terceros, para soporte de las decisiones. </t>
  </si>
  <si>
    <t>El sistema debe permitir la integración para esta gestión, de un sistema de administración de proyectos como el descrito en la pestaña "Adminitrador de Proyectos".</t>
  </si>
  <si>
    <t>El sistema debe permitir guardar la información de activos recibidos, estos relacionados con el proceso realizado a una cooperativa, y que se pueda ingresar las decisiones tomadas frente a los activos (venta, entrega, cesión), valor, avalúo, fechas, administrador del activo</t>
  </si>
  <si>
    <t>El sistema debe pemitir el diseño de un formato de cuenta de cobro de inscripción, que se genere de forma automática, y pueda enviarse a la entidad con el valor de los derechos de inscripción y otros atributos que se definan.</t>
  </si>
  <si>
    <t>Gestion de Activos</t>
  </si>
  <si>
    <t>Tercero</t>
  </si>
  <si>
    <t>Proceso en el que participa</t>
  </si>
  <si>
    <t xml:space="preserve">Pago de Seguro </t>
  </si>
  <si>
    <t>Entidades administradores</t>
  </si>
  <si>
    <t>Proceso de Apoyo o Intervención</t>
  </si>
  <si>
    <t>El sistema debe permitir administrar (crear, obtener, eliminar y editar)  en el portal, la hoja de vida de terceros y entidades proveedores, por parte de estos, en diversas categorias (Ver pestaña terceros)  según invitación, además debe permitir la evaluación gracias a la definición reglas de aceptación, de permanencia y exclusión.</t>
  </si>
  <si>
    <t>El sistema debe permitir asignar los terceros o entidades proveedores a un proceso del negocio, y generar a partir de allí un programa de seguimiento, permitiendo la gestión de un proyecto como el descrito en la pestaña "Administración de Proyectos".</t>
  </si>
  <si>
    <t>El sistema debe permitir administrar el conjunto de informes estándar de manera que se puedan generar automátcamente, desde un listado.</t>
  </si>
  <si>
    <t>Proceso de divulgación</t>
  </si>
  <si>
    <t xml:space="preserve">El sistema debe permitir capturar un informe de resultados y calificación de proveedores de comunicaciones y manejo de medios, con un formulario parametrizable, con el fin que esta información quede visible en el sistema </t>
  </si>
  <si>
    <t>El sistema debe permitir consultar la información de las cooperativas, por medio de agregados y otros indicadores parametrizables que soporten la toma de decisiones de apoyo, intervención o salida ordenada, desde cualquier flujo de trabajo.</t>
  </si>
  <si>
    <t>El sistema debe permitir el manejo de las novedades, que se generen en el proceso de cobro de prima de seguro como: incripciones,  sobreprimas, fusiones, escisiones, absorciones, suspensiones y desmontes entre otras. Este manejo implica el registro, actualización y aplicación de estas novedades, asi como el manejo transaccional de cada novedad, es decir que no quede en firme la novedad hasta que todas sus consecuencias sobre el sistema y requisitos esten completos.</t>
  </si>
  <si>
    <t>El sistema debe permitir definir atributos de seguimiento para las actividades. Sobre estos atributos deben poderse generar indicadores respecto al plan, al responsable, al proveedor. Un atributo de seguimiento es una propiedad particular de una actividad que se quiere monitorear, por ejemplo en el caso de un proceso se apoyo, en una actividad de evaluación de cartera en pagarés, podria ser el número de pagarés que fueron conforme a las políticas.</t>
  </si>
  <si>
    <t>El sistema debe permitir estructurar la inscripción o la prima como un conjunto  de cuotas, que facilite la interacción con el modelo de pagos por cuotas del sistema ERP (Heinsohn Apoteosys)</t>
  </si>
  <si>
    <t>El sistema debe permitir flexibilidad para crear formularios sencillos, en poco tiempo, para capturar información básica que se considere necesaria de las cooperativas u otros entes. (Ver ejemplo Anexo - Solicitud de inscripción)</t>
  </si>
  <si>
    <t>El sistema debe permitir generar informes con la información de interacciónes y comunicaciones con las cooperativas que posee el Fondo, los informes deben ser parametrizables, en este caso los informes deben estar relacionados con número de comunicados enviados, informes planificados, tiempo de respuesta de solicitudes, número de solicitudes realizadas por tipo, por cooperativa, por entes de control, por otros terceros.</t>
  </si>
  <si>
    <t>El sistema debe permitir generar un listado de terceros o entidades proveedoras, a partir de unos filtros parametrizables. (Ver Pestaña de Terceros)</t>
  </si>
  <si>
    <t xml:space="preserve">Entidades ejecutoras </t>
  </si>
  <si>
    <t xml:space="preserve">Entidades de divulgación </t>
  </si>
  <si>
    <t xml:space="preserve">Notificadoras </t>
  </si>
  <si>
    <t xml:space="preserve">Pagadoras </t>
  </si>
  <si>
    <t>Operadores logísticos</t>
  </si>
  <si>
    <t xml:space="preserve">Agentes especiales </t>
  </si>
  <si>
    <t>Liquidadores</t>
  </si>
  <si>
    <t>Contralores</t>
  </si>
  <si>
    <t>Proveedores de gestión comunicaciones y manejo de medios</t>
  </si>
  <si>
    <t>El sistema debe permitir que se pueda observar toda la información de la cooperativa a través del sistema, como una vista unificada de la hoja de vida o linea de tiempo de la misma, esta debe integrar toda la historia y la información actual disponible, incluyendo los indicadores, apoyos, intervenciones e incluso hechos sucedidos a la entidad, que permita rastrear las decisiones.</t>
  </si>
  <si>
    <t>El sistema debe permitir un proceso de aprobación detallado de los programas y de las actividades de divulgación y de campañas de comunicaciones, debe permitir generar el registro de la aprobación de actividades específicas, registro de viabilidad (financiera, tiempo, técnica, mercado, otras), y tambien permitir detallar las decisiones sobre actividades específicas.</t>
  </si>
  <si>
    <t>El sistema debe poder recibir pagos y controlar la información de pagos totales o parciales, aparte del  "Botón de pagos PSE", a través de otros recursos  como consignaciones y transferencias, e integrar esta información al flujo de trabajo del cobro respectivo. Debe contemplar el cálculo  de comisiones bancarias de recaudo por cada transacción y realizar las causaciones o asientos contables necesarios sobre el ERP, cuando allá lugar luego de la consolidación.</t>
  </si>
  <si>
    <t>El sistema debe recibir de manera centralizada de redes sociales las comunicaciones generadas por las cooperativas o entidades asociadas y generar alertas al profesionales responsables designado.</t>
  </si>
  <si>
    <t>Los formatos de cargue deben ser flexibles si se presentan cambios en los estándares, o si el Fondo requiere captura de información adicional en estos mismos, y debe llevarse administración  la configuración de los formatos cambiados y de la información cargada.</t>
  </si>
  <si>
    <t>El sistema debe pemitir generar comunicados internos, con noticias, artículos, links en internet o intranet, y que estos sean enviados a el proceso de gestión documental, previa autorización en flujo de trabajo</t>
  </si>
  <si>
    <t>El sistema debe permitir la conectividad con sistemas externos de redes social (twitter, facebook, Google +, entre otros), mensajes de texto e internos (pagina web, e-mail), para el envió de mensajes (artículos, resoluciones, comunicados, publicaciones, entre otros), previa autorización en flujo de trabajo, teniendo en cuenta segmentaciones parametrizables, las direcciones se deben tomar del sistema de información, en donde la cooperativa, los ahorradores o ciudadanos han guardado su información.</t>
  </si>
  <si>
    <t>El sistema debe ser parametrizable para ajustar la accesibilidad del portal de acuerdo con el cambio de las pautas WCAG</t>
  </si>
  <si>
    <t>El sistema debe cumplir con las pautas generales descritas en el W3C para la Accesibilidad WEB denominadas WCAG (Web Content Accesibility Guidelines) versión 2.0</t>
  </si>
  <si>
    <t>Accesibilidad</t>
  </si>
  <si>
    <t>A9</t>
  </si>
  <si>
    <t>El sistema debe mantener una bitácora de información de uso de la misma y facilidades de consulta sobre el log.</t>
  </si>
  <si>
    <t>Permitir auditar concurrencias, consistencias e integridad de la información.</t>
  </si>
  <si>
    <t>Permitir programar políticas de auditoría que registren eventos ejecutados cuando se cumplen las condiciones establecidas.</t>
  </si>
  <si>
    <t>El sistema debe permitir auditar las operaciones de administración del sistema y de la base de datos.</t>
  </si>
  <si>
    <t>El sistema debe permitir administrar los logs de auditoria (espacio en disco, vigencia de logs, programación de generación de informes de auditoría, permanencia de logs).</t>
  </si>
  <si>
    <t>El sistema debe generar logs de auditoría para hacer seguimiento a las operaciones realizadas por los usuarios, identificando fecha, hora, usuario, terminal, sesión, acción realizada.</t>
  </si>
  <si>
    <t>El sistema debe permitir el aprovisionamiento de llaves y certificados, de manera central y sujeto a un nivel de autorización en el directorio.</t>
  </si>
  <si>
    <t>Permitir la definición del máximo número de entradas al sistema por usuario.</t>
  </si>
  <si>
    <t>Auditoría</t>
  </si>
  <si>
    <t>El sistema debe proporcionar facilidades de ayuda en línea a nivel pantalla y a nivel campo.</t>
  </si>
  <si>
    <t>Las pantallas del sistema y pantallas de errores deben estar en idioma español.</t>
  </si>
  <si>
    <t>El motor de base de datos debe poseer características de manejo de datos relacionales y multidimensionales de bodega de datos.</t>
  </si>
  <si>
    <t>El sistema debe permitir la generación de recordatorios masivos de las fechas de vencimiento de los pagos, asi como avisos de mora en el pago de los derechos de inscripción o de prima, por medio del administrador de eventos de manera centralizada y uniforme.</t>
  </si>
  <si>
    <t>Debe ser posible la expresión y puesta a prueba de modelos personalizados de riesgo liquidez</t>
  </si>
  <si>
    <t>Debe ser posible, cambiar coeficientes, porcentajes y otros parámetros del modelo, desde un motor de reglas, sin modificar el modelo original.</t>
  </si>
  <si>
    <t>Debe ser posible ejecutar y calcular todos y cada uno de los modelos, con un conjunto de datos de prueba, con los datos de producción del fondo o con otros que se tengan.</t>
  </si>
  <si>
    <t>Si tiene un mecanismo especial para ejecutar los modelos explíquelo.</t>
  </si>
  <si>
    <t>Explique como el mecanismo existente de ejecución de los modelos de su solución, favorece el rendimiento y la escalabilidad. (Si facilidades de paralelismo, de secuenciación o fragmentación automática de tareas, explíquelo)</t>
  </si>
  <si>
    <t>Debe permitir generar eventos, alarmas y notificaciones sobre los modelos existentes.</t>
  </si>
  <si>
    <t>La información de un modelo debe poderse integrar a uno o varios flujos de proceso existentes.</t>
  </si>
  <si>
    <t>Adicionales - Si su enfoque provee otras funcionalidades, o considera que otros requerimientos se deben considerar, por favor incluyalos en esta parte (abajo).</t>
  </si>
  <si>
    <t>Adicional 1.</t>
  </si>
  <si>
    <t>El sistema debe permitir crear, consultar y editar documentos en línea como texto, hojas de cálculo o presentaciones, de forma concurrente o no concurrente. Por cada documento que se cree se debe permitir la adición de imágenes, comentarios, fórmulas, entre otros. Este debe estar integrado con el gestor documental y el gestor de procesos.</t>
  </si>
  <si>
    <t>El sistema debe permitir flexibilidad para crear formularios de carga masiva de información financiera, en poco tiempo, para capturar  la información que se considere necesaria con el fin de realizar seguimiento a las cooperativas.  La estructura de la información debe estar conforme a los estándares de la Supersolidaria, Superfinanciera, y los dipuestos por el Fondo. Ver información relacionada en el Anexo - Ayuda de SIAF (Siaf captura.hlp)</t>
  </si>
  <si>
    <t>Debe ser posible la expresión y puesta a prueba de modelos estándar de riesgo liquidez, como los expresados en el Anexo SARL, en particular el modelo de IRL, del fondo y de las cooperativas (Ver Anexo 1.4 - Estructura  del IRL)</t>
  </si>
  <si>
    <t>El sistema debe proveer un mecanismo para que un conjunto de entidades inscritas, calculen con la información que ellas tengan disponible, el IRL (Índice de Riesgo Liquidez), según el modelo del fondo. (Ver Anexo 1.4 - Estructura  del IRL).</t>
  </si>
  <si>
    <t>El sistema debe permitir usar la información del modelo CAME, MAT, IRL u otros definidos para las entidades inscritas al fondo, para calcular la prima por riesgo. (Ver Anexo 1.5 - SARL y Anexo 6 - SARM)</t>
  </si>
  <si>
    <t>El sistema debe permitir generar un flujo para configurar las junta asesoras de los representantes mayoritarios y minoritarios, de acuerdo a parámetros ingresados al sistema (Ver Anexo 1.1 - Escogencia Junta asesora)</t>
  </si>
  <si>
    <t>El sistema debe permitir configurar un conjunto de reglas que permitan calcular el valor a pagar por los servicios prestados por terceros o entidades proveedoras, dependiendo del tipo de tercero (Ver pestaña terceros) - (Como ejemplo ver Anexo 1.9 - Formato de Cálculo de Honorarios)</t>
  </si>
  <si>
    <t>Respecto a la versión entregada para la Solicitud de Información.</t>
  </si>
  <si>
    <t>DETALLE DEL DESARROLLO (Si contempla desarrollo)</t>
  </si>
  <si>
    <t>DETALLE DE PRODUCTOS (Si contempla licencias o uso de productos propios o de terceros)</t>
  </si>
  <si>
    <t>Tiempo Estimado</t>
  </si>
  <si>
    <t>Costo Desarrollo</t>
  </si>
  <si>
    <t>$ xxx.xxx</t>
  </si>
  <si>
    <t>Producto 1</t>
  </si>
  <si>
    <t>Costo Unitario Licencia</t>
  </si>
  <si>
    <t xml:space="preserve">N </t>
  </si>
  <si>
    <t>Producto 2</t>
  </si>
  <si>
    <t>Producto 3</t>
  </si>
  <si>
    <t>Producto …</t>
  </si>
  <si>
    <t>Producto N</t>
  </si>
  <si>
    <t>N meses, M dias</t>
  </si>
  <si>
    <t>Estimado para este desarrollo</t>
  </si>
  <si>
    <t>INSTRUCCIONES PARA DILIGENCIAR ESTE ANEXO DE REQUERIMIENTOS</t>
  </si>
  <si>
    <t>Descripción</t>
  </si>
  <si>
    <t>2. LISTADO DE REQUERIMIENTOS</t>
  </si>
  <si>
    <t>Impacto en el costo y esfuerzo de la propuesta</t>
  </si>
  <si>
    <t>3. Listado de Adicionales que su solucion puede proveer.</t>
  </si>
  <si>
    <t>Por favor diligencie cada una de las tres partes de cada hoja, según la siguiente descripción:</t>
  </si>
  <si>
    <t>Se agregó una descripción detallada de los campos, en una hoja de Instrucciones</t>
  </si>
  <si>
    <t>Relación Actividad</t>
  </si>
  <si>
    <t>Si tiene comentarios adicionales al requerimiento, si este no fue claro, o si considera necesario, explicaciones adicionales, diligencielas en este campo.</t>
  </si>
  <si>
    <t>N/A</t>
  </si>
  <si>
    <t>Respecto a la lista de actividades, que se presenta en la parte superior de algunas pestañas, esta columna tiene una referencia a una o varias de las  actividades con que tiene relación el requerimiento.</t>
  </si>
  <si>
    <t>Listado de requerimientos adicionales</t>
  </si>
  <si>
    <t>Para la parte 1, realice un estimado general del tiempo que invertirá en el desarrollo, ajuste, parametrización o instalación de los requerimientos de cada pestaña de requerimientos en particular. Por ejemplo, para la pestaña, "Captura y Formularios", describa el tiempo en meses y días, y el costo en pesos, de este desarrollo o implementación.</t>
  </si>
  <si>
    <t>Si considera que su solución, los productos que usa, o los desarrollos que tiene o que propone, pueden agregar valor a su propuesta, diligencie aquí, el listado de estas funcionalidades, de la misma forma que para la parte "2. Listado de Requerimientos".</t>
  </si>
  <si>
    <t>Se agregaron columnas para la descripción de la forma como se resuelven los requerimientos.</t>
  </si>
  <si>
    <t>1. DETALLE DE COSTO, TIEMPO Y LICENCIAMIENTO</t>
  </si>
  <si>
    <t xml:space="preserve">1. DETALLE DE COSTO, TIEMPO Y LICENCIAMIENTO </t>
  </si>
  <si>
    <t>El sistema debe permitir el almacenamiento de la trazabilidad en los cambios de contenido documental, informativo y comunicativo. En este sentido es necesario que el sistema de gestor de contenido esté integrado con el gestor documental y con el sistema gestor de procesos.</t>
  </si>
  <si>
    <t xml:space="preserve">El sistema gestor de contenido deberá estar integrado con el gestor documental. Los contenidos que se generen y se gestionen en el sistema de contenido, podrán hacer parte y vincularse a los procesos de gestión documental. </t>
  </si>
  <si>
    <t>El sistema gestor de contenido deberá estar integrado con el gestor de proceso. Los contenidos que se generen y se gestionen en el sistema de contenido, podrán hacer parte y vincularse a actividades o procesos del gestor de procesos. De la misma forma, debe ser posible que el gestor de procesos, pueda solicitar o usar los servicios del gestor de contenido, para sus actividades o procesos, automáticos o humanos.</t>
  </si>
  <si>
    <t>El sistema debe soportar la capacidad de invocar y ejecutar subprocesos desde un contexto o marco de ejecución de un proceso, y mantener el contexto o marco de ejecución del proceso original.</t>
  </si>
  <si>
    <r>
      <t xml:space="preserve">El sistema debe permitir a administradores el definir derechos de acceso a usuarios/grupos para </t>
    </r>
    <r>
      <rPr>
        <b/>
        <i/>
        <sz val="10"/>
        <rFont val="Arial"/>
        <family val="2"/>
      </rPr>
      <t>cada proceso.</t>
    </r>
  </si>
  <si>
    <r>
      <t xml:space="preserve">El sistema debe permitir a administradores el definir derechos de acceso a usuarios/grupos </t>
    </r>
    <r>
      <rPr>
        <b/>
        <i/>
        <sz val="10"/>
        <rFont val="Arial"/>
        <family val="2"/>
      </rPr>
      <t>en actividades del proceso.</t>
    </r>
  </si>
  <si>
    <t>El sistema debe permitir delimitar la búsqueda de un documento sobre los contenidos de una  serie documental particular según lo establezca el administrador.</t>
  </si>
  <si>
    <t>El sistema debe permitir la integración con sistemas externos de envío de correo certificado a través de correo electrónico, como el prestado por  Certimail de la entidad 472. Debe permitir el uso de estas u otras estrategias similares para el envió de comunicaciones certificadas.</t>
  </si>
  <si>
    <t>Solución de Riesgo</t>
  </si>
  <si>
    <t>Modelado de Riesgos</t>
  </si>
  <si>
    <t>Gestión y seguimiento a indicadores y modelos de riesgo</t>
  </si>
  <si>
    <t>Valoración de los modelos e indicadores de riesgo</t>
  </si>
  <si>
    <t>Resultado de la valoración el sistema debe poder consolidar la información de modelos e indicadores existentes, en un tablero de control.</t>
  </si>
  <si>
    <t>Integración de la Solución de Riesgo</t>
  </si>
  <si>
    <t>El sistema debe permitir realizar seguimiento a la gestión de administradores de activos, sobre los activos, debe ser posible saber cuando  fueron entregados en cesión, o administración, en que estado están, que nuevos avalúos se han efectuado, que gastos relacionados, entre otros, esta información debe poder ser cargada por el tercero encargado.</t>
  </si>
  <si>
    <t>El sistema debe generar un informe consolidado del costo total del proceso, incluyendo fechas de inicio, hitos y final, fechas de los pagos, detalle de formas de pago, detalle de ahorradores pagados y no pagados entre otra información que se defina para este informe.</t>
  </si>
  <si>
    <t>Entidades sin Inscripción</t>
  </si>
  <si>
    <t>Entidades en proceso de Inscripción</t>
  </si>
  <si>
    <t xml:space="preserve">   - Entidades en Seguimiento Normal</t>
  </si>
  <si>
    <t>Solicitud de Inscripción</t>
  </si>
  <si>
    <t>Solicitud de Apoyo</t>
  </si>
  <si>
    <t>Inicio del Proceso de Toma de Posesión</t>
  </si>
  <si>
    <t>Inicio del Proceso de Liquidación</t>
  </si>
  <si>
    <t>Otros estados que puedan definirse</t>
  </si>
  <si>
    <t>Otras solicitudes que puedan definirse.</t>
  </si>
  <si>
    <t>Nombre</t>
  </si>
  <si>
    <t>Esta solicitud se presenta cuando una entidad recien creada empieza el proceso, para estar conforme a la ley y estar inscrita a FOGACOOP.</t>
  </si>
  <si>
    <t>Esta solicitud se presenta cuando una entidad que considera necesita fondos, debido a un deficit de liquidez u otro problema, solicita apoyo financiero a FOGACOOP.</t>
  </si>
  <si>
    <t>Aunque no necesariamente representa una solicitud externa, es una actividad que demanda información particular de la entidad implicada y tambien requiere información en una forma inicial, y en un conjunto de formatos de carga masiva, para que FOGACOOP conozca la información financiera para este proceso particular.</t>
  </si>
  <si>
    <t>Es posible que se requiera configurar asociado a una forma inicial, un conjunto de formatos de carga masiva de información financiera, o de otro tipo, conforme las necesidades de los procesos de FOGACOOP.</t>
  </si>
  <si>
    <t>Estado de la Entidad</t>
  </si>
  <si>
    <t>Algunas entidades recien creadas o que no hayan completado  la documentación y los requisitos necesarios para la inscripción aún, puede que tambien por algún periodo, reporten información financiera a FOGACOOP.</t>
  </si>
  <si>
    <t>Estas entidades recien creadas, pueden estar sin inscripción, por un corto periodo de tiempo, mientras preparan la documentación y los requisitos necesarios para la inscripción e inician el trámite, pero puede que por este corto periodo, reporten información financiera a FOGACOOP.</t>
  </si>
  <si>
    <t>Luego del pago total de la Inscripción una entidad se considera formalmente inscrita y puede estar en cualquiera de los siguientes estados o en otros que se definan de acuerdo a las políticas y al proceso de seguimiento de FOGACOOP. Estas entidades reportan información financiera a FOGACOOP de manera obligatoria.</t>
  </si>
  <si>
    <t>Se agregaron las pestañas "Tipificación de las Solicitudes" y "Estados de las Entidades"</t>
  </si>
  <si>
    <t>Si no se ha detectado ningún problema y no se considera que la entidad este en un nivel de riesgo especial, la entidad esta bajo un proceso de seguimiento normal, sujeta a un conjunto de indicadores, y a unas políticas de reporte de información estándar.</t>
  </si>
  <si>
    <t>En cambio, si se han generado alertas sobre los indicadores, y sujeto a las políticas para ser "EME", se considera que la entidad está en monitoreo especial, la entidad está bajo un proceso de seguimiento especial, sujeta a un conjunto de indicadores, y a unas políticas de reporte de información especiales (Ver Anexo SARL y SARM).</t>
  </si>
  <si>
    <t xml:space="preserve">   - Entidades E.M.E. (Entidades en Monitoreo Especial)
   - Entidades en Apoyo
   - Entidades Tomadas en Posesión para Administración
   - Entidades en Liquidación</t>
  </si>
  <si>
    <t>Aparte de estos estados, es posible que fruto del análisis de los indicadores, o gracias a la creación de otros modelos de riesgo, sea necesario tener otros estados y que sean necesarios, formas (para captura de información básica) y formularios (para captura masiva de información financiera), dependiendo de las necesidades de FOGACOOP.</t>
  </si>
  <si>
    <t>El sistema debe permitir la actualización de información de la solicitud por parte de la cooperativa desde la página web, en los casos que uno de los profesionales solicite ajustes o información adicional.</t>
  </si>
  <si>
    <t>Relacionada con los procesos misionales</t>
  </si>
  <si>
    <t>Estándar en el manejo de trámites y solicitudes</t>
  </si>
  <si>
    <t>Peticiones</t>
  </si>
  <si>
    <t>Quejas</t>
  </si>
  <si>
    <t>Reclamos</t>
  </si>
  <si>
    <t>Otras</t>
  </si>
  <si>
    <t>Solicitudes respecto a la calidad del servicio, o tendientes a manifestar inconformidad de los interesados con la entidad, con un tramite o con proceso del fondo, que impliquen un compromiso de FOGACOOP e impliquen una respuesta de FOGACOOP.</t>
  </si>
  <si>
    <t>Solicitudes respecto a la calidad del servicio, o tendientes a manifestar inconformidad de los interesados con la entidad, con un tramite o con un proceso del fondo.</t>
  </si>
  <si>
    <t>Solicitudes especiales o sobre los procesos, para pedir información, o solictar aclaración de un tramite o proceso del fondo, podrían implicar un compromiso y una respuesta de FOGACOOP.</t>
  </si>
  <si>
    <t>El sistema debe permitir configurar, dependiendo del tipo de solicitud, un campo para redactar el contenido de una esta. (Ver pestaña "Tipificación de las Solicitudes").</t>
  </si>
  <si>
    <t>Manifestaciones tendientes a mejorar un aspecto de la organización, como la calidad del servicio, los tramites, los procesos del fondo u otros.</t>
  </si>
  <si>
    <t>Sugerencias</t>
  </si>
  <si>
    <t>El sistema debe permitir configurar, dependiendo del tipo de solicitud, la opción de adjuntar documentos. (Ver pestaña "Tipificación de las Solicitudes").</t>
  </si>
  <si>
    <t>El sistema debe permitir configurar los tipos de solicitud incluidos en la pestaña "Tipificación de las Solicitudes", así como la creación y configuración de otros tipos de solicitudes.</t>
  </si>
  <si>
    <t>El sistema debe generar un número de radicación por cada solicitud que se realice. El número de radicación debe estar asociado al tipo de solicitud, tema y área o unidad correspondiente de dar respuesta.</t>
  </si>
  <si>
    <t>El sistema debe permitir el registro de las solicitudes de los usuarios por los diferentes canales: portal, correspondencia física, teléfono y dispositivo móvil.</t>
  </si>
  <si>
    <t>El sistema debe permitir la configuración (dependiendo del canal) de un conjunto de datos obligatorios y opcionales, en el caso que ya sea haya utilizado con anterioridad el servicio de solicitudes, esto para identificar efectivamente al usuario. Esta definición debe poder hacerse sobre un conjunto de datos como:  Nombre, Apellido, Tipo de documento de identidad y número, Sexo, Ubicación Geográfica, Dirección, Teléfono, Correo Electrónico y otros que se consideren.</t>
  </si>
  <si>
    <t>El sistema debe permitir la tipificación de las solicitudes por prioridad, tipo de solicitante, medio por el cual se origina el requerimiento de atención, fechas de vencimiento y estado de la solicitud.</t>
  </si>
  <si>
    <t>El sistema debe permitir  que un administrador defina los tiempos de respuesta por tipo de solicitud, y asocie alertas, alarmas y notificaciones a estos límites.</t>
  </si>
  <si>
    <t>Es sistema debe almecenar los tiempos de respuesta de las solicitudes, incluido el tipo de solicitud, el solitante y el funcionario que atendió la solicitud.</t>
  </si>
  <si>
    <t>Respecto a los tiempos de respuesta de las  solicitudes, el sistema debe permitir configurar en que pantallas se muestra esta información, en particular deben mostrarse en las pantallas de recepción de solicitudes.</t>
  </si>
  <si>
    <t>El sistema debe ser transversal a todas las unidades de negocio del Fondo. Los activos documentales que se generen en los demás sistemas deben ingresar al sistema documental y permanecer bajo el control y gestion de este.</t>
  </si>
  <si>
    <t>El sistema debe permitir configurar, dependiendo del tipo de solicitud, que formularios, de los generados por el conjunto de requerimientos descrito en la pestaña "Captura y Formularios", son necesarios para una solicitud en particular.</t>
  </si>
  <si>
    <t>El sistema debe permitir la configuración (dependiendo del canal) de un conjunto de datos obligatorios y opcionales, en el caso que sea la primer vez que se usa el servicio de solicitudes. Esta definición debe poder hacerse sobre un conjunto de datos como:  Nombre, Apellido, Tipo de documento de identidad y número, Sexo, Ubicación Geográfica, Dirección, Teléfono, Correo Electrónico y otros que se consideren.</t>
  </si>
  <si>
    <t>El sistema debe permitir la gestión de cada una de las solicitudes a través de flujos de trabajo automáticos, teniendo en cuenta el estado (por ejemplo, aprobado, devuelto, en revisión, cancelado), el responsable, la fecha en que se asignó al responsable, los comentarios asociados durante el trámite, y conservar la traza de esta gestión.</t>
  </si>
  <si>
    <t>El sistema debe permitir la configuración de envío de información del estado de la solicitud (trámite) a través de diversos canales, como mensajes de correo electrónico, mensajes de texto o publicación en el portal web. El mensaje debe indicar información sobre el estado del trámite, el contenido y los tiempos de respuesta esperados.</t>
  </si>
  <si>
    <t>El sistema debe permitir la configuración del envío de las respuestas a las solicitudes a través de diversos canales, como mensajes de correo electrónico, mensajes de texto o publicación en el portal web. El mensaje debe indicar información sobre los tiempos de respuesta promedio</t>
  </si>
  <si>
    <t>El sistema debe permitir consultar las solicitudes ingresadas al sistema a través de múltiples parámetros tales como fecha de ingreso, número de radicación, número de solicitud, tipo y tema de la solicitud, estado u otros atributos de la solicitud particular.</t>
  </si>
  <si>
    <t>El sistema debe recibir del gestor documental al menos los siguientes parámetros: Número de radicación, Tipo de trámite, tema del trámite, usuario que lo radicó, además de otros que se consideren pertinentes.</t>
  </si>
  <si>
    <t>El sistema debe permitir que las solicitudes en proceso pueden reasignarse sin importar la fase en la que se encuentren mientras no hayan sido respondidas, solo por un usuario administrador.</t>
  </si>
  <si>
    <r>
      <t xml:space="preserve">El sistema debe estar direccionado a proporcionar las características de </t>
    </r>
    <r>
      <rPr>
        <b/>
        <i/>
        <sz val="10"/>
        <rFont val="Arial"/>
        <family val="2"/>
      </rPr>
      <t>usabilidad</t>
    </r>
    <r>
      <rPr>
        <sz val="10"/>
        <rFont val="Arial"/>
        <family val="2"/>
      </rPr>
      <t xml:space="preserve"> de acuerdo lo a lo establecido en GEL 3.0 y su manual de implementación, y a la personalización adicional que el FONDO realice de estas.</t>
    </r>
  </si>
  <si>
    <t>El sistema debe permitir el acceso concurrente de usuarios vía web.</t>
  </si>
  <si>
    <r>
      <t xml:space="preserve">Las aplicaciones del lado del servidor del sistema deben poder trabajar sobre sistemas operativos </t>
    </r>
    <r>
      <rPr>
        <b/>
        <i/>
        <sz val="10"/>
        <rFont val="Arial"/>
        <family val="2"/>
      </rPr>
      <t>Linux</t>
    </r>
    <r>
      <rPr>
        <sz val="10"/>
        <rFont val="Arial"/>
        <family val="2"/>
      </rPr>
      <t>. Especifique en comentarios que versiones soporta, y si alguna aplicación especifica tiene una excepción.</t>
    </r>
  </si>
  <si>
    <r>
      <t xml:space="preserve">Las aplicaciones del lado del servidor del sistema deben, poder trabajar sobre sistemas operativos </t>
    </r>
    <r>
      <rPr>
        <b/>
        <i/>
        <sz val="10"/>
        <rFont val="Arial"/>
        <family val="2"/>
      </rPr>
      <t>Windows.</t>
    </r>
    <r>
      <rPr>
        <sz val="10"/>
        <rFont val="Arial"/>
        <family val="2"/>
      </rPr>
      <t xml:space="preserve"> Si lo soporta, especifique en comentarios que versiones soporta, y si alguna aplicación especifica tiene una excepción.</t>
    </r>
  </si>
  <si>
    <r>
      <t xml:space="preserve">Las aplicaciones del lado del servidor del sistema deben poder trabajar sobre sistemas operativos </t>
    </r>
    <r>
      <rPr>
        <b/>
        <i/>
        <sz val="10"/>
        <rFont val="Arial"/>
        <family val="2"/>
      </rPr>
      <t>Unix.</t>
    </r>
    <r>
      <rPr>
        <sz val="10"/>
        <rFont val="Arial"/>
        <family val="2"/>
      </rPr>
      <t xml:space="preserve"> Si lo soporta, especifique en comentariosque versiones soporta, y si alguna aplicación especifica tiene una excepción.</t>
    </r>
  </si>
  <si>
    <t>Concurrencia</t>
  </si>
  <si>
    <t>Portabilidad</t>
  </si>
  <si>
    <r>
      <t xml:space="preserve">Las aplicaciones del lado del servidor del sistema deben poder trabajar sobre sistemas operativos </t>
    </r>
    <r>
      <rPr>
        <b/>
        <i/>
        <sz val="10"/>
        <rFont val="Arial"/>
        <family val="2"/>
      </rPr>
      <t>MAC</t>
    </r>
    <r>
      <rPr>
        <sz val="10"/>
        <rFont val="Arial"/>
        <family val="2"/>
      </rPr>
      <t>. Si lo soporta, especifique en comentarios que versiones soporta, y si alguna aplicación especifica tiene una excepción.</t>
    </r>
  </si>
  <si>
    <r>
      <t xml:space="preserve">El sistema debe ofrecer compatibilidad y ofrecer servicios a través de sistemas móviles como teléfonos inteligentes y tablets, para  Apple, Android, Windows Mobile, u otros </t>
    </r>
    <r>
      <rPr>
        <b/>
        <i/>
        <sz val="10"/>
        <rFont val="Arial"/>
        <family val="2"/>
      </rPr>
      <t>a nivel de plataforma WEB.</t>
    </r>
  </si>
  <si>
    <r>
      <t xml:space="preserve">El sistema debe desacoplar y hacer flexible la integración con el Sistema ERP actual, </t>
    </r>
    <r>
      <rPr>
        <b/>
        <i/>
        <sz val="10"/>
        <rFont val="Arial"/>
        <family val="2"/>
      </rPr>
      <t>Heinsohn Apoteosys,</t>
    </r>
    <r>
      <rPr>
        <sz val="10"/>
        <rFont val="Arial"/>
        <family val="2"/>
      </rPr>
      <t xml:space="preserve"> por medio de un componente de mediación, para que en el futuro el reemplazo de este sistema en terminos de las funcionalidades actuales y futuras, tenga el menor impacto.</t>
    </r>
  </si>
  <si>
    <t>El sistema y cada parte de este, que requiera servicios de autenticación y autorización integrarse con el directorio de autenticación y acceso (LDAP o ACTIVE DIRECTORY).</t>
  </si>
  <si>
    <t>El sistema y cada parte de este, que requiera servicios de autenticación deberá estar en capacidad de incorporar los servicios de Single Sign On (SSO).</t>
  </si>
  <si>
    <r>
      <t xml:space="preserve">El sistema debe permitir la administración de roles, perfiles, usuarios, permisos y niveles de acceso a las diferentes </t>
    </r>
    <r>
      <rPr>
        <b/>
        <i/>
        <sz val="10"/>
        <rFont val="Arial"/>
        <family val="2"/>
      </rPr>
      <t>funcionalidades</t>
    </r>
    <r>
      <rPr>
        <sz val="10"/>
        <rFont val="Arial"/>
        <family val="2"/>
      </rPr>
      <t xml:space="preserve"> del sistema.</t>
    </r>
  </si>
  <si>
    <r>
      <t xml:space="preserve">El sistema debe permitir la administración de roles, perfiles, usuarios, permisos y niveles de acceso a los </t>
    </r>
    <r>
      <rPr>
        <b/>
        <i/>
        <sz val="10"/>
        <rFont val="Arial"/>
        <family val="2"/>
      </rPr>
      <t>datos</t>
    </r>
    <r>
      <rPr>
        <sz val="10"/>
        <rFont val="Arial"/>
        <family val="2"/>
      </rPr>
      <t xml:space="preserve"> del sistema.</t>
    </r>
  </si>
  <si>
    <t>El sistema debe contener mecanismos de seguridad, relacionados con la utilización de los servicios a través de redes públicas e Internet, para garantizar: confidencialida,  integridad y acceso autorizado a la información.</t>
  </si>
  <si>
    <t>Contar con mecanismos de corrección de errores y realizar registros en log de estas operaciones.</t>
  </si>
  <si>
    <t>El sistema debe generar logs de auditoría para hacer seguimiento a las operaciones y acciones realizadas por los usuarios, identificando fecha, hora, usuario, terminal, sesión, acción realizada.</t>
  </si>
  <si>
    <t>El sistema debe permitir utilizar protección de contraseñas, por diferentes métodos como enmascaramiento en las interfaces, transporte cifrado y almacenamiento cifrado.</t>
  </si>
  <si>
    <t xml:space="preserve">El sistema debe proveer diversidad de mecanismos para facilitar el uso de Single SignOn, por parte de los demás sistemas. </t>
  </si>
  <si>
    <t>Permitir la definición del máximo número de intentos fallidos de acceso.</t>
  </si>
  <si>
    <t>Permitir la definición y alerta del número de días para vencimiento de la contraseña.</t>
  </si>
  <si>
    <t xml:space="preserve">El sistema debe conceder a cualquiera en el grupo de administradores crear, borrar, y editar todos los aspectos de información almacenados en el LDAP. </t>
  </si>
  <si>
    <t>El sistema debe permitir la creación de perfiles de usuarios. La creación de dicho perfil debe solicitar como mínimo: nombre del usuario, documento de identificación, teléfono, dirección, sexo, fecha de nacimiento, correo electrónico, contraseña, entre otros que puedan resultar necesarios.</t>
  </si>
  <si>
    <t>El sistema debe permitir que las notificaciones a terceros sean enviadas por medio de un sistema seguro que se encuentre cifrado y solo pueda ser abierto con una contraseña segura</t>
  </si>
  <si>
    <t>El sistema debe permitir la definición de reglas sobre las contraseñas como: Prohibición en la reutilización de “N” contraseñas anteriores, niveles de complejidad, uso de diccionarios de varios lenguajes, políticas de combinación de mayúsculas, minúsculas, dígitos y símbolos, definición de la longitud máxima y mínima, y otras que permitan el endurecimiento de las mismas.</t>
  </si>
  <si>
    <r>
      <t xml:space="preserve">El sistema debe estar direccionado a proporcionar las características de </t>
    </r>
    <r>
      <rPr>
        <b/>
        <i/>
        <sz val="10"/>
        <rFont val="Arial"/>
        <family val="2"/>
      </rPr>
      <t>accesibilidad</t>
    </r>
    <r>
      <rPr>
        <sz val="10"/>
        <rFont val="Arial"/>
        <family val="2"/>
      </rPr>
      <t xml:space="preserve"> de acuerdo lo a lo establecido en GEL 3.0, su manual de implementación, en particular a lo descrito en la NTC 5854, y a la personalización adicional que el FONDO realice de estas.</t>
    </r>
  </si>
  <si>
    <t>El sistema debe permitir consultar el histórico de un documento, sobre el control de versiones.</t>
  </si>
  <si>
    <t>Mantenibilidad</t>
  </si>
  <si>
    <t>Flexibilidad y Evolución</t>
  </si>
  <si>
    <t>El sistema debe contar con una opciones de acceso rápido y atajos, diferentes aplicaciones, a las funcionalidades mas populares o a formas específicas.</t>
  </si>
  <si>
    <t>Usabilidad y Accesibilidad</t>
  </si>
  <si>
    <t>El sistema debe poder grabar o realizar un log del usuario que realiza un cambio en un archivo o contenido junto al dato original, el dato final y la fecha del cambio</t>
  </si>
  <si>
    <t>Seguridad y Trazabilidad</t>
  </si>
  <si>
    <t>Disponibilidad y Recuperabilidad (Resilience)</t>
  </si>
  <si>
    <t xml:space="preserve">El sistema debe soportar diversas formas de presentación de reportes a través de textos, gráficos o imágenes. </t>
  </si>
  <si>
    <t>El sistema debe presentar el contenido, los menús y herramientas, de los reportes e informes generados en idioma español.</t>
  </si>
  <si>
    <r>
      <t xml:space="preserve">El sistema debe permitir generar los reportes o consultas en pantalla y por diferentes formatos como CSV, XLS, TXT, PDF, </t>
    </r>
    <r>
      <rPr>
        <b/>
        <i/>
        <sz val="10"/>
        <rFont val="Arial"/>
        <family val="2"/>
      </rPr>
      <t>PDF/A.</t>
    </r>
  </si>
  <si>
    <r>
      <t xml:space="preserve">Las aplicaciones del lado del servidor del sistema deben poder trabajar sobre un sistema manejador de base de datos </t>
    </r>
    <r>
      <rPr>
        <b/>
        <i/>
        <sz val="10"/>
        <rFont val="Arial"/>
        <family val="2"/>
      </rPr>
      <t>ORACLE</t>
    </r>
    <r>
      <rPr>
        <sz val="10"/>
        <rFont val="Arial"/>
        <family val="2"/>
      </rPr>
      <t>,  Si lo soporta, especifique en comentarios que versiones soporta (9i, 10g, 11g o superior) , y si alguna aplicación especifica tiene una excepción.</t>
    </r>
  </si>
  <si>
    <r>
      <t xml:space="preserve">Las aplicaciones del lado del servidor del sistema deben poder trabajar sobre un sistema manejador de base de datos </t>
    </r>
    <r>
      <rPr>
        <b/>
        <i/>
        <sz val="10"/>
        <rFont val="Arial"/>
        <family val="2"/>
      </rPr>
      <t>MS - SQL Server</t>
    </r>
    <r>
      <rPr>
        <sz val="10"/>
        <rFont val="Arial"/>
        <family val="2"/>
      </rPr>
      <t>,  Si lo soporta, especifique en comentarios que versiones soporta , y si alguna aplicación especifica tiene una excepción.</t>
    </r>
  </si>
  <si>
    <r>
      <t xml:space="preserve">El sistema debe permitir la parametrización y cambio de la </t>
    </r>
    <r>
      <rPr>
        <b/>
        <i/>
        <sz val="10"/>
        <rFont val="Arial"/>
        <family val="2"/>
      </rPr>
      <t>moneda</t>
    </r>
    <r>
      <rPr>
        <sz val="10"/>
        <rFont val="Arial"/>
        <family val="2"/>
      </rPr>
      <t xml:space="preserve"> en la que opera el sistema.</t>
    </r>
  </si>
  <si>
    <t>Confiabilidad</t>
  </si>
  <si>
    <t>El sistema debe poderse acceder vía protocolo de aplicaciones inalámbricas (WAP).</t>
  </si>
  <si>
    <t>El sistema debe soportar protocolos para intercambio de información como XML, XBRL, GEL XML y otros estándares pertinentes, en los escenarios de la aplicación donde se consiere necesario.</t>
  </si>
  <si>
    <t>El sistemas debe proveer estándares web y de servicios web tales como WDSL, XSLT, WS-BPEL, XML.</t>
  </si>
  <si>
    <t>El sistema debe ofrecer de un conjunto de interfaces y servicios incorporados que facilitan el control de acceso, la conexión única, la administración de perfiles de usuarios y la sincronización.</t>
  </si>
  <si>
    <t>El motor de base de datos debe ofrecer mecanismos de integración con otros motores de bases de datos.</t>
  </si>
  <si>
    <t>El motor de base de datos debe soportar de manera nativa almacenamiento y manipulación de XML.</t>
  </si>
  <si>
    <t>El sistema debe ofrecer facilidades de búsqueda, hints y listas desplegables automáticas en los campos de selección y busqueda, que permitan al usuario obtener posibles valores que puede tomar un dato, minimizando el ingreso de datos (autocompletar en formularios)</t>
  </si>
  <si>
    <t>El levantamiento e identificación de los tipos de contenido, y las relaciones entre los contenidos del gestor de contenidos y portal, en un marco de administración de conocimiento, deben poderse gestionar, modelar y ser consultados, por medio de algún estándar de representación de conocimiento como RDF, OWL o los que defina GEL 3.0, para tal fin.</t>
  </si>
  <si>
    <t>El levantamiento e identificación de las entidades y estructura de los datos del sistema, en un marco de administración de conocimiento, deben poderse gestionar, modelar y ser consultados, por medio de algún estándar de representación de conocimiento como RDF, OWL o los que defina GEL 3.0, para tal fin.</t>
  </si>
  <si>
    <t>El sistema debe proveer administración de forma remota, asociados a unos requerimientos de seguridad, para este tipo de funcionalidad.</t>
  </si>
  <si>
    <t>El sistema debe cumplir las demás recomendaciones que se contemplan en GEL 3.0, para este tipo de soluciones.</t>
  </si>
  <si>
    <t>Entidades Inscritas que pueden ser:</t>
  </si>
  <si>
    <t>El sistema debe permitir más allá de las herramientas provistas por Google Analytics, el análisis y recolección de las visitas hechas por los usuarios autenticados, bien sean ahorradores, cooperativas u otros que se definan, sobre, que contenidos, con que frecuencia, y desde que ubicación geografica, se realizaron tales consultas.</t>
  </si>
  <si>
    <t>El sistema debe permitir que para los documentos que requieran, conservación a largo tiempo, de acuerdo a las políticas documentales y de retención, el uso de formatos y mecanismos de preservación a largo tiempo, como los establecidos por ISO 19005-1:2005, ISO 32000-1. En particular el uso de PDF-A, y sus variantes según sea el caso.</t>
  </si>
  <si>
    <t>El sistema debe poseer un modelo de control de acceso conforme lo descrito en los controles del numeral 11 (Control de acceso a la información) del anexo 8 del Modelo de Seguridad de Información de GEL.</t>
  </si>
  <si>
    <t xml:space="preserve">El sistema debe garantizar mecanismos de auditoría sobre los documentos electrónicos que cumplan los principios de:  disponibilidad 
confidencialidad, integridad, autenticidad y no repudio.
</t>
  </si>
  <si>
    <t>El sistema debe poseer mecanismos para ofrecer el portafolio de servicios misionales del fondo a través de todos los canales.</t>
  </si>
  <si>
    <t>El sistema debe estar preparado para una verificación de seguridad como la propuesta por OWASP (Open Web Application Security Project).</t>
  </si>
  <si>
    <t>El sistema debe, respecto al manejo de sesiones invalidarlas cuando los usuarios cierren sesión (log out).</t>
  </si>
  <si>
    <t>El sistema debe, respecto al manejo de sesiones desactivar las sesiones, sujetos a un tiempo de inactividad parametrizable.</t>
  </si>
  <si>
    <t>El sistema debe, respecto al manejo de sesiones ubicar enlaces para cerrarlas todas las páginas que requieran autenticación.</t>
  </si>
  <si>
    <t>El sistema debe, respecto al manejo de sesiones mantenter los ID de estos protegidos.</t>
  </si>
  <si>
    <t>El sistema debe, respecto al manejo de sesiones cambiar los ID al momento del Log in.</t>
  </si>
  <si>
    <t xml:space="preserve">El sistema debe, respecto al manejo de sesiones cambiar los ID al momento de la re-autenticación </t>
  </si>
  <si>
    <t xml:space="preserve">El sistema debe, respecto al manejo de sesiones rechazar los ID de las sesiones inválidas </t>
  </si>
  <si>
    <t>El sistema debe, respecto al manejo de sesiones asegurar la definición y ajuste de los parámetros de las cookies, para endurecer la seguridad.</t>
  </si>
  <si>
    <t>El sistema debe ofrecer la posibilidad de solicitar  re-autenticación para las operaciones definidas como C75sensibles.</t>
  </si>
  <si>
    <t>El sistema debe establecer políticas y poseer mecanismos para evitar la inyección de código, tanto en formularios como en formatos de carga másiva, en información desde o hacia las interfaces del sistema, y en general en toda la superficie el sistema donde pueda existir recepción de datos de usuarios o aplicaciones externas.</t>
  </si>
  <si>
    <t>El sistema debe establecer políticas y poseer mecanismos para evitar ataques de XSS (Cross Site Scripting), en toda la superficie el sistema donde pueda existir recepción de datos de usuarios o aplicaciones externas.</t>
  </si>
  <si>
    <t>Debe ser posible la expresión y puesta a prueba de indicadores como Brecha de Liquidez, Herfindal y los controles de ley  que implican reglas de negogio, a los que esta sujeto el fondo.</t>
  </si>
  <si>
    <t>Numero de Licencias 
(Para Entorno de Producción)</t>
  </si>
  <si>
    <t>Numero de Licencias 
(Para Entorno de 
Pruebas y Desarrollo)</t>
  </si>
  <si>
    <t>Mes de su plan de ejecución cuando es necesario adquirirla</t>
  </si>
  <si>
    <t>De la misma manera para la parte 1, si su solución usa de manera total o parcial, productos terminados, propios o de terceros que requieren licenciamiento de cualquier tipo, detalle el NÚMERO DE LICENCIAS que requiere, tanto para el entorno de producción y para el entorno de desarrollo y pruebas, y en que momento de la ejecución del proyecto requiere estas licencias disponibles, según su PLAN DE EJECUCIÓN del proyecto, y el COSTO de estas licencias por unidad. Asegúrese que contempla TODAS las licencias que requiere para el adecuado funcionamiento de su propuesta de solución.</t>
  </si>
  <si>
    <t>El sistema debe permitir la parametrización de los formatos requeridos dependiendo del tipo de solicitud (Ver pestaña "Tipificación de las Solicitudes") y de las características del inscrito (Ver "Estados de las Entidades")</t>
  </si>
  <si>
    <t>El sistema debe permitir obtener información adicional de la cooperativa por medio del mismo formulario, donde la cooperativa ingresa su información financiera, transaccional o de ahorradores, el cargue se debe realizar desde una hoja de cálculo conforme a los estándares de la Supersolidaria, Superfinanciera, y los dipuestos por el Fondo de acuerdo a sus políticas.</t>
  </si>
  <si>
    <t>Se retiraron del alcance los requerimientos funcionales de la solución de "Administración de Portafolio" y en cambio se solicitaron requerimientos de integración con esta.</t>
  </si>
  <si>
    <t>El sistema debe poder consumir, la información de Cambios en TES, tasas de interés, información de riesgo de mercado, percepción de inflación, y otra información que se considere pertinente proveniente de una aplicación de un tercero o de la aplicación Administradora del Portafolio, Midas de Heinsohn, para la administración del portafolio en un tablero informativo para el agente de inversión del fondo, para las actividades que se requieran en la solución de riesgo.</t>
  </si>
  <si>
    <t>El sistema debe poder consumir, detalles del portafolio, VaR y o Posición Diaria, proveniente de servicios de la aplicación Administradora del Portafolio, Midas de Heinsohn, para las actividades que se requieran en la solución de riesgo.</t>
  </si>
  <si>
    <r>
      <t xml:space="preserve">El sistema debe desacoplar y hacer flexible la integración con el Sistema de Administración de Portafolio actual, </t>
    </r>
    <r>
      <rPr>
        <b/>
        <i/>
        <sz val="10"/>
        <rFont val="Arial"/>
        <family val="2"/>
      </rPr>
      <t>Heinsohn Midas</t>
    </r>
    <r>
      <rPr>
        <sz val="10"/>
        <rFont val="Arial"/>
        <family val="2"/>
      </rPr>
      <t>, y contemplar el impacto y desarrollo de la integración con el sistema que el FONDO escoja para reemplazar este, por medio de un componente de mediación, para que en el futuro el reemplazo de este sistema en terminos de las funcionalidades actuales y futuras, tenga el menor impacto.</t>
    </r>
  </si>
  <si>
    <t>El sistema debe integrar un motor de base de datos que ofrezca soporte al modelo ACID, que asegure Atomicidad, Consistencia, Aislamiento y Durabilidad.</t>
  </si>
  <si>
    <t>El modelo de datos debe conservar propiedades relacionales y debe garantizar niveles de normalización y baja redundancia. La excepción o uso de estrategias que impliquen la afectación, del modelo relacional o de los niveles de normalización y no redundancia, deberan estar documentados y justificados con argumentos arquitecturales y de calidad sustentables.</t>
  </si>
  <si>
    <t>El sistema debe permitir el uso consistente de mecanismos y políticas que faciliten la definición y mantenimiento de valores por defecto, administración y gestión de datos nulos, administración, gestión y marcado de datos obligatorios cuando no esten disponibles. En el sentido del sistema completo y para cada uno de sus componentes. Esto implica que el sistema debe definir, valores por defecto para fechas, cantidades númericas, teléfonos, emails y otras entidades que se consideren sensibles, de modo que se faciliten, los procesos de migración de datos y se reduzca el impacto de estas migraciones, en la estabilidad y confiabilidad de la aplicación.</t>
  </si>
  <si>
    <t>Para los desarrollos a la medida, la arquitectura de las vistas, debe mínimo, contemplar el uso de modelos y buenas prácticas como MVC, MV-C, u otros que garanticen y potencien la separación de responsabilidades en las vistas. El uso de estrategias que impliquen la afectación, de este modelo, o de otras prácticas, deberan estar documentados y justificadas con argumentos arquitecturales y de calidad sustentables.</t>
  </si>
  <si>
    <t>Para los desarrollos a la medida, la arquitectura debe mínimo, contemplar el uso de capas de Persistencia, Lógica de Negocio y Vistas, claramente separadas y delimitadas. Nótese que esto implica que no deben existir infracciones en estas capas, como existencia de lógica de negocio en la capa de persistencia o visualización mezclada con lógica de negocio.  El uso de estrategias que impliquen la afectación, de este modelo de capas, o de otras prácticas, deberan estar documentados y justificadas con argumentos arquitecturales y de calidad sustentables.</t>
  </si>
  <si>
    <t>El sistema debe integrarse con el sistema Microsoft Exchange 2010, para los temas de colaboración y otros que se consideren.</t>
  </si>
  <si>
    <t>El sistema debe permitir crear flujos de trabajo de manera  conforme a las politicas de usabilidad, debe ser fácil y práctico.</t>
  </si>
  <si>
    <t>El sistema debe permitir que al cambiar flujos de trabajo de se guarde un registro del cambio y se permita luego regresar a una versión anterior, manteniendo el registro del responsable (Administración de la configuración de los Flujos)</t>
  </si>
  <si>
    <t>1. Detalle de costo, tiempo y licenciamiento</t>
  </si>
  <si>
    <t>2. Listado de requerimientos</t>
  </si>
  <si>
    <t>3. Listado de adicionales que su solucion puede proveer.</t>
  </si>
  <si>
    <t>Número de Licencias 
(Para Entorno de 
Pruebas y Desarrollo)</t>
  </si>
  <si>
    <t>Número de Licencias 
(Para Entorno de Producción)</t>
  </si>
  <si>
    <r>
      <t xml:space="preserve">Las aplicaciones del lado del servidor del sistema deben poder trabajar sobre un sistema manejador de base de datos </t>
    </r>
    <r>
      <rPr>
        <b/>
        <i/>
        <sz val="10"/>
        <rFont val="Arial"/>
        <family val="2"/>
      </rPr>
      <t>Postgres,</t>
    </r>
    <r>
      <rPr>
        <sz val="10"/>
        <rFont val="Arial"/>
        <family val="2"/>
      </rPr>
      <t xml:space="preserve">  Si lo soporta, especifique en comentarios que versiones soporta, y si alguna aplicación especifica tiene una excepción.</t>
    </r>
  </si>
  <si>
    <t>El sistema debe ser parametrizable en terminos de las interfaces de usuario, debe utilizar estilos de cascada CSS3 y usar buenas prácticas en su implementación.</t>
  </si>
  <si>
    <t>El sistema debe ser parametrizable en terminos de los campos permitidos y obligatorios, de los perfiles de usuarios.</t>
  </si>
  <si>
    <t>El sistema debe ser parametrizable en terminos de las tablas maestras de la aplicación y proveer mecanismos de usuario final, como interfaces y accesos, para su configuración.</t>
  </si>
  <si>
    <t>El sistema debe evitar la existencia de puertas traseras o mecanismos de modificación directa de los esquemas de datos, para labores operativas y de negocio, toda funcionalidad, requerimiento, parametrización y configuración debe tener una interfaz de usuario, sujeta a las politicas de seguridad integral del sistema.</t>
  </si>
  <si>
    <r>
      <t xml:space="preserve">El sistema, en particular el portal y los recursos de datos, deben </t>
    </r>
    <r>
      <rPr>
        <b/>
        <i/>
        <sz val="10"/>
        <rFont val="Arial"/>
        <family val="2"/>
      </rPr>
      <t>INTEGRAR</t>
    </r>
    <r>
      <rPr>
        <sz val="10"/>
        <rFont val="Arial"/>
        <family val="2"/>
      </rPr>
      <t xml:space="preserve"> el sistema </t>
    </r>
    <r>
      <rPr>
        <b/>
        <i/>
        <sz val="10"/>
        <rFont val="Arial"/>
        <family val="2"/>
      </rPr>
      <t>SIG,</t>
    </r>
    <r>
      <rPr>
        <sz val="10"/>
        <rFont val="Arial"/>
        <family val="2"/>
      </rPr>
      <t xml:space="preserve"> existente, la descripción de esta integración está descrita en el "Anexo 13 - Detalle del Requerimiento de Integración del SIG".</t>
    </r>
  </si>
  <si>
    <r>
      <t xml:space="preserve">El sistema debe </t>
    </r>
    <r>
      <rPr>
        <b/>
        <i/>
        <sz val="10"/>
        <rFont val="Arial"/>
        <family val="2"/>
      </rPr>
      <t>INTEGRAR</t>
    </r>
    <r>
      <rPr>
        <sz val="10"/>
        <rFont val="Arial"/>
        <family val="2"/>
      </rPr>
      <t xml:space="preserve"> el sistema </t>
    </r>
    <r>
      <rPr>
        <b/>
        <i/>
        <sz val="10"/>
        <rFont val="Arial"/>
        <family val="2"/>
      </rPr>
      <t>SIG,</t>
    </r>
    <r>
      <rPr>
        <sz val="10"/>
        <rFont val="Arial"/>
        <family val="2"/>
      </rPr>
      <t xml:space="preserve"> existente, la descripción de esta integración está descrita en el "Anexo 13 - Detalle del Requerimiento de Integración del SIG".</t>
    </r>
  </si>
  <si>
    <r>
      <t xml:space="preserve">El sistema debe proveer los mecanismos e indicadores necesatios para </t>
    </r>
    <r>
      <rPr>
        <b/>
        <i/>
        <sz val="10"/>
        <rFont val="Arial"/>
        <family val="2"/>
      </rPr>
      <t>INTEGRAR</t>
    </r>
    <r>
      <rPr>
        <sz val="10"/>
        <rFont val="Arial"/>
        <family val="2"/>
      </rPr>
      <t xml:space="preserve"> el sistema </t>
    </r>
    <r>
      <rPr>
        <b/>
        <i/>
        <sz val="10"/>
        <rFont val="Arial"/>
        <family val="2"/>
      </rPr>
      <t>SIG,</t>
    </r>
    <r>
      <rPr>
        <sz val="10"/>
        <rFont val="Arial"/>
        <family val="2"/>
      </rPr>
      <t xml:space="preserve"> existente, la descripción de esta integración está descrita en el "Anexo 13 - Detalle del Requerimiento de Integración del SIG".</t>
    </r>
  </si>
  <si>
    <t>El sistema debe atender y resolver el contexto y la problemática descritos en el "Anexo 12 - Detalle del Requerimiento de Captura, Formularios y Reemplazo de SIAF.".</t>
  </si>
  <si>
    <t>El sistema debe tener encuenta y proveer mecanismos para atender un escenario de cremiento como el descrito en "Anexo 11 - Escenario de Crecimiento".</t>
  </si>
  <si>
    <t>El sistema debe ser capaz de escalar, y soportar, un escenario de crecimiento como el descrito en "Anexo 11 - Escenario de Crecimiento". Tenga en cuenta tambien el "Anexo 14 - Inventario de Capacidades y Consumo Actuales". Para este requerimiento.</t>
  </si>
  <si>
    <t>El sistema, debe contener respecto a la página de entrada, y a un conjunto de páginas informativas, u otras que considere el fondo, una versión en Inglés.</t>
  </si>
  <si>
    <t>TODOS</t>
  </si>
  <si>
    <t>ID REQ</t>
  </si>
  <si>
    <t>El sistema debe soportar el estimado, para el sistema de generación personalizada de reportes,  de 10 personas que lo usen y lo accedan.</t>
  </si>
  <si>
    <t>Los mecanismos de integración NO deben usar comunicación punto a punto o directa entre aplicaciones,  El uso de estrategias que impliquen la afectación de esta política en el modelo de integración, o de otras prácticas, deberan estar documentados y justificadas con argumentos arquitecturales y de calidad sustentables.</t>
  </si>
  <si>
    <t>NO</t>
  </si>
  <si>
    <t>Debe ser posible la expresión y puesta a prueba de otros modelos estándar de riesgo CAME de riesgo financiero.</t>
  </si>
  <si>
    <t>SI</t>
  </si>
  <si>
    <t>El sistema debe ser parametrizable para los casos en los que se considere pertinente el uso de plantillas, como en la generación de correos, creación de informes, formatos del administrador de contenidos, entre otros.</t>
  </si>
  <si>
    <t>El sistema debe permitir de manera unificada y centralizada, la administración y cambio de los recursos de datos (datasources). En particular la instalación de una nueva instancia de la aplicación. debe ser posible, sujeto a parametrizaciones de estos recursos de datos, de manera sencilla.</t>
  </si>
  <si>
    <t>NO OFRECIDO</t>
  </si>
  <si>
    <t>Medición y Cálculo de los modelos e indicadores de riesgo</t>
  </si>
  <si>
    <t>Debe ser posible la expresión y puesta a prueba de otros modelos afines, con riesgo liquides, como brecha de liquidez, niveles de endeudamiento, nivel de ahorros, niveles de préstamo, Modelo de alerta temprana MAT,  entre otros. (Ver Anexos SARM Y SARL)</t>
  </si>
  <si>
    <t>Debe ser posible la expresión y puesta a prueba de otros modelos de riesgo crédito y perdida esperada con componentes como:  Probabilidad de Quiebra (PD), Exposicion (EAD), y  LGD (Loss given default).</t>
  </si>
  <si>
    <t>El sistema debe permitir la generación de un informe consolidado de riesgo liquidez y riesgo de crédito incluida la información y comentarios relevantes de indicadores, y demás actividades que se hayan realizado durante el proceso. En particular el sistema debe permitir generar un reporte histórico parametrizable en términos de tiempo, fecha y frecuencia, sobre el cumplimiento de las políticas SARL (Ver Anexo 1.5 - SARL)</t>
  </si>
  <si>
    <t>El sistema debe proveer un mecanismo flexible de generación de informes que permitan la visualización de información consolidada o desagregada, sobre los indicadores del fondo, o de los inscritos, respecto a riesgo liquidez y crédito.</t>
  </si>
  <si>
    <t>El sistema debe permitir la visualización del histórico de los indicadores calculados. Debe permitir guardar la información, en caso de retransmisión de información, se debe poder consultar la información antes de retransmisión, y después de retransmisión.</t>
  </si>
  <si>
    <t>El sistema debe ofrecer un mecanismo que garantice el envío de los mensajes, respecto a salida de correos, notificaciones y comunicación entre aplicaciones.</t>
  </si>
  <si>
    <t>El sistema debe permitir realizar búsquedas sobre la información financiera recolectada por el módulo de "7. Captura y Formularios", por medio de palabras clave, números de Cooperativa, nombres de Cooperativa, o nombres de documentos, y traer un listado personalizado, indicando que columnas y de que entidad del sistema.</t>
  </si>
  <si>
    <t>El sistema debe soportar que sean ejecutadas, versiones diferentes del mismo procesos.</t>
  </si>
  <si>
    <t>El sistema debe permitir que varias personas con autorización de edición, modifiquen (no de manera concurrente)  una misma sección.</t>
  </si>
  <si>
    <t>El sistema debe permitir que varias personas con autorización de administración, gestionen (no de manera concurrente)  una misma sección.</t>
  </si>
  <si>
    <t>El sistema debe permitir listar los ítems a los que un usuario tiene acceso, dentro del portal, como contenidos, secciones y aplicaciones, además de ver a que rol pertenece, y como esta identificado en el sistema.</t>
  </si>
  <si>
    <t>RESPUESTA DEL OFERENTE</t>
  </si>
  <si>
    <t>DESARROLLO TOTAL</t>
  </si>
  <si>
    <t>Obligatorio</t>
  </si>
  <si>
    <t xml:space="preserve">El sistema debe permitir obtener información adicional de la cooperativa por medio del mismo formulario, donde la cooperativa ingresa su información financiera, transaccional o de ahorradores, el cargue se debe realizar desde un esquema tipo hoja de cálculo conforme a los estándares de la Supersolidaria, Superfinanciera, y los dipuestos por el Fondo. La información necesaria es, entre otra que se pueda solicitar:
- Flujo de caja proyectado 
- Relación de titulos valores 
- PUC Histórico y proyectado 
- Saldos diarios </t>
  </si>
  <si>
    <t>El sistema debe permitir guardar un registro de las reglas de validación y configuración detallada con la que se cargó un archivo o formulario, en una vigencia determinada, para eventualmente si existen procesos de retransmisión u otros, recuperar esta configuración y aplicarla nuevamente.</t>
  </si>
  <si>
    <t>El sistema debe permitir administrar vigencias, entendidas como periodos de tiempo o lapsos, en respecto a la aplicación de reglas de negocio, es decir, una regla de negocio, validación o configuración debe tener asociado los periodos en los que se aplicó y permitir restaurar o revisar esta configuración para correr, procesos o actividades de negocio, como capturas de información.</t>
  </si>
  <si>
    <t>TODO NATIVO</t>
  </si>
  <si>
    <t>NATIVO Y DESARROLLO</t>
  </si>
  <si>
    <t>Seleccione esta opción, si su propuesta contempla un producto terminado (propio o de terceros) para este requerimiento y si este producto satisface el requerimiento completamente de manera Nativa (SIN DESARROLLOS)</t>
  </si>
  <si>
    <t>Seleccione esta opción, si su propuesta contempla un producto terminado (propio o de terceros) para este requerimiento y si este producto satisface el requerimiento de MANERA PARCIAL, y son requeridos DESARROLLOS ADICIONALES, para satisfacer el requerimiento completamente.</t>
  </si>
  <si>
    <t>Al seleccionar esta opción, esto hace explicito que el esfuerzo de instalación, ajuste y puesta en funcionamiento de este requerimiento está INCLUIDO incluido en el costo y esfuerzo de su propuesta.</t>
  </si>
  <si>
    <t>Al seleccionar esta opción, esto hace explicito que el esfuerzo de desarrollo, instalación, ajuste y puesta en funcionamiento de este requerimiento esta INCLUIDO en el costo y esfuerzo de su propuesta.</t>
  </si>
  <si>
    <t>Seleccione esta opción, si su propuesta requiere y usa solamente DESARROLLO, para satisfacer el requerimiento completamente.</t>
  </si>
  <si>
    <t>Se eliminó el requerimiento de riesgo mercado y SARM de la "Solución de Riesgo"</t>
  </si>
  <si>
    <t>2. LISTADO DE REQUERIMIENTOS ( REQUERIMIENTOS FUNCIONALES PESTAÑAS DE LA 1. A LA 17.</t>
  </si>
  <si>
    <t>2. LISTADO DE REQUERIMIENTOS (REQUERIMIENTOS NO FUNCIONALES PESTAÑA NF. NO FUNCIONALES"</t>
  </si>
  <si>
    <t>Este campo es informativo y hace explicito que FOGACOOP considera que este requerimiento NO FUNCIONAL es OBLIGATORIO si dice SI, y considera que es DESEABLE si dice NO.</t>
  </si>
  <si>
    <t>OFRECIDO</t>
  </si>
  <si>
    <t>Seleccione esta opción, si su propuesta contempla la satisfacción completa de este requerimiento no funcional o de calidad.</t>
  </si>
  <si>
    <t>Seleccione esta opción, si su propuesta NO contempla la satisfacción completa de este requerimiento no funcional o de calidad.</t>
  </si>
  <si>
    <r>
      <t xml:space="preserve">Para las pestañas 1. a la 17. parte 2, tenga en cuenta diligenciar el formato, de acuerdo a la siguiente descripción y si tiene COMENTARIOS adicionales, relacionelos en la respectiva columna. 
NOTA: SI USTED NO SELECCIONA NINGUNA DE ESTAS OPCIONES, SE ASUMIRÁ </t>
    </r>
    <r>
      <rPr>
        <b/>
        <i/>
        <sz val="10"/>
        <color theme="1"/>
        <rFont val="Arial"/>
        <family val="2"/>
      </rPr>
      <t xml:space="preserve">"DESARROLLO TOTAL".
</t>
    </r>
    <r>
      <rPr>
        <sz val="10"/>
        <color theme="1"/>
        <rFont val="Arial"/>
        <family val="2"/>
      </rPr>
      <t xml:space="preserve">
Para la pestaña "NF. No funcionales". parte 2, tenga en cuenta diligenciar el formato, mencionando si ofrece y no ofrece estas calidades.</t>
    </r>
  </si>
</sst>
</file>

<file path=xl/styles.xml><?xml version="1.0" encoding="utf-8"?>
<styleSheet xmlns="http://schemas.openxmlformats.org/spreadsheetml/2006/main">
  <fonts count="22">
    <font>
      <sz val="10"/>
      <color theme="1"/>
      <name val="Arial"/>
      <family val="2"/>
    </font>
    <font>
      <sz val="11"/>
      <color theme="1"/>
      <name val="Arial"/>
      <family val="2"/>
      <scheme val="minor"/>
    </font>
    <font>
      <sz val="10"/>
      <name val="Arial"/>
      <family val="2"/>
    </font>
    <font>
      <sz val="10"/>
      <name val="Arial"/>
      <family val="2"/>
    </font>
    <font>
      <b/>
      <sz val="10"/>
      <name val="Arial"/>
      <family val="2"/>
    </font>
    <font>
      <b/>
      <sz val="10"/>
      <color theme="0"/>
      <name val="Arial"/>
      <family val="2"/>
    </font>
    <font>
      <sz val="10"/>
      <color theme="0"/>
      <name val="Arial"/>
      <family val="2"/>
    </font>
    <font>
      <sz val="11"/>
      <color indexed="9"/>
      <name val="Calibri"/>
      <family val="2"/>
    </font>
    <font>
      <sz val="10"/>
      <color indexed="8"/>
      <name val="Arial"/>
      <family val="2"/>
    </font>
    <font>
      <b/>
      <i/>
      <sz val="10"/>
      <color theme="1"/>
      <name val="Arial"/>
      <family val="2"/>
    </font>
    <font>
      <sz val="11"/>
      <color theme="1"/>
      <name val="Calibri"/>
      <family val="2"/>
    </font>
    <font>
      <b/>
      <i/>
      <sz val="11"/>
      <color theme="0"/>
      <name val="Arial"/>
      <family val="2"/>
    </font>
    <font>
      <b/>
      <i/>
      <sz val="10"/>
      <color theme="0" tint="-0.249977111117893"/>
      <name val="Arial"/>
      <family val="2"/>
    </font>
    <font>
      <b/>
      <i/>
      <sz val="10"/>
      <color theme="0"/>
      <name val="Arial"/>
      <family val="2"/>
    </font>
    <font>
      <b/>
      <i/>
      <sz val="8"/>
      <color theme="0"/>
      <name val="Arial"/>
      <family val="2"/>
    </font>
    <font>
      <u/>
      <sz val="9.3000000000000007"/>
      <color theme="10"/>
      <name val="Arial"/>
      <family val="2"/>
    </font>
    <font>
      <b/>
      <i/>
      <sz val="12"/>
      <color theme="1"/>
      <name val="Arial"/>
      <family val="2"/>
    </font>
    <font>
      <b/>
      <i/>
      <sz val="10"/>
      <name val="Arial"/>
      <family val="2"/>
    </font>
    <font>
      <sz val="10"/>
      <color theme="1"/>
      <name val="Arial"/>
      <family val="2"/>
    </font>
    <font>
      <sz val="11"/>
      <name val="Arial"/>
      <family val="2"/>
      <scheme val="minor"/>
    </font>
    <font>
      <sz val="16"/>
      <color theme="0"/>
      <name val="Arial"/>
      <family val="2"/>
    </font>
    <font>
      <b/>
      <sz val="9"/>
      <color theme="0"/>
      <name val="Arial"/>
      <family val="2"/>
    </font>
  </fonts>
  <fills count="15">
    <fill>
      <patternFill patternType="none"/>
    </fill>
    <fill>
      <patternFill patternType="gray125"/>
    </fill>
    <fill>
      <patternFill patternType="solid">
        <fgColor indexed="44"/>
        <bgColor indexed="64"/>
      </patternFill>
    </fill>
    <fill>
      <patternFill patternType="solid">
        <fgColor indexed="15"/>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C00000"/>
        <bgColor indexed="64"/>
      </patternFill>
    </fill>
    <fill>
      <patternFill patternType="solid">
        <fgColor rgb="FF0070C0"/>
        <bgColor indexed="64"/>
      </patternFill>
    </fill>
    <fill>
      <patternFill patternType="solid">
        <fgColor indexed="54"/>
        <bgColor indexed="23"/>
      </patternFill>
    </fill>
    <fill>
      <patternFill patternType="solid">
        <fgColor theme="0"/>
        <bgColor indexed="64"/>
      </patternFill>
    </fill>
    <fill>
      <patternFill patternType="solid">
        <fgColor theme="1"/>
        <bgColor indexed="64"/>
      </patternFill>
    </fill>
    <fill>
      <patternFill patternType="solid">
        <fgColor rgb="FFFFC000"/>
        <bgColor indexed="64"/>
      </patternFill>
    </fill>
    <fill>
      <patternFill patternType="solid">
        <fgColor rgb="FF00B050"/>
        <bgColor indexed="64"/>
      </patternFill>
    </fill>
    <fill>
      <patternFill patternType="solid">
        <fgColor theme="0"/>
        <bgColor indexed="26"/>
      </patternFill>
    </fill>
  </fills>
  <borders count="73">
    <border>
      <left/>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hair">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hair">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3"/>
      </left>
      <right style="hair">
        <color indexed="63"/>
      </right>
      <top style="hair">
        <color indexed="63"/>
      </top>
      <bottom style="hair">
        <color indexed="63"/>
      </bottom>
      <diagonal/>
    </border>
    <border>
      <left style="thick">
        <color auto="1"/>
      </left>
      <right style="hair">
        <color auto="1"/>
      </right>
      <top style="hair">
        <color indexed="64"/>
      </top>
      <bottom style="hair">
        <color indexed="64"/>
      </bottom>
      <diagonal/>
    </border>
    <border>
      <left style="hair">
        <color auto="1"/>
      </left>
      <right style="thick">
        <color auto="1"/>
      </right>
      <top style="hair">
        <color indexed="64"/>
      </top>
      <bottom style="hair">
        <color indexed="64"/>
      </bottom>
      <diagonal/>
    </border>
    <border>
      <left style="thick">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ck">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right/>
      <top style="hair">
        <color auto="1"/>
      </top>
      <bottom style="hair">
        <color auto="1"/>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auto="1"/>
      </top>
      <bottom style="hair">
        <color auto="1"/>
      </bottom>
      <diagonal/>
    </border>
    <border>
      <left/>
      <right/>
      <top style="hair">
        <color auto="1"/>
      </top>
      <bottom style="hair">
        <color auto="1"/>
      </bottom>
      <diagonal/>
    </border>
    <border>
      <left/>
      <right style="medium">
        <color indexed="64"/>
      </right>
      <top style="hair">
        <color auto="1"/>
      </top>
      <bottom style="hair">
        <color auto="1"/>
      </bottom>
      <diagonal/>
    </border>
    <border>
      <left/>
      <right/>
      <top style="hair">
        <color auto="1"/>
      </top>
      <bottom style="medium">
        <color indexed="64"/>
      </bottom>
      <diagonal/>
    </border>
    <border>
      <left style="medium">
        <color indexed="64"/>
      </left>
      <right/>
      <top style="hair">
        <color auto="1"/>
      </top>
      <bottom style="medium">
        <color indexed="64"/>
      </bottom>
      <diagonal/>
    </border>
    <border>
      <left/>
      <right style="medium">
        <color indexed="64"/>
      </right>
      <top style="hair">
        <color auto="1"/>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hair">
        <color auto="1"/>
      </top>
      <bottom style="hair">
        <color auto="1"/>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diagonal/>
    </border>
    <border>
      <left style="thin">
        <color indexed="64"/>
      </left>
      <right style="hair">
        <color indexed="64"/>
      </right>
      <top style="hair">
        <color indexed="64"/>
      </top>
      <bottom style="hair">
        <color indexed="64"/>
      </bottom>
      <diagonal/>
    </border>
  </borders>
  <cellStyleXfs count="24">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9" borderId="0" applyNumberFormat="0" applyBorder="0" applyAlignment="0" applyProtection="0"/>
    <xf numFmtId="0" fontId="15" fillId="0" borderId="0" applyNumberFormat="0" applyFill="0" applyBorder="0" applyAlignment="0" applyProtection="0">
      <alignment vertical="top"/>
      <protection locked="0"/>
    </xf>
    <xf numFmtId="0" fontId="1" fillId="0" borderId="0"/>
    <xf numFmtId="0" fontId="18" fillId="0" borderId="0"/>
    <xf numFmtId="9" fontId="18" fillId="0" borderId="0" applyFont="0" applyFill="0" applyBorder="0" applyAlignment="0" applyProtection="0"/>
  </cellStyleXfs>
  <cellXfs count="354">
    <xf numFmtId="0" fontId="0" fillId="0" borderId="0" xfId="0"/>
    <xf numFmtId="0" fontId="3" fillId="0" borderId="1" xfId="5" applyFont="1" applyBorder="1" applyAlignment="1">
      <alignment horizontal="left" vertical="center" wrapText="1"/>
    </xf>
    <xf numFmtId="0" fontId="4" fillId="3" borderId="2" xfId="14" applyFont="1" applyFill="1" applyBorder="1" applyAlignment="1">
      <alignment horizontal="center" vertical="center" wrapText="1"/>
    </xf>
    <xf numFmtId="0" fontId="3" fillId="0" borderId="12" xfId="5" applyFont="1" applyBorder="1" applyAlignment="1">
      <alignment horizontal="left" vertical="center" wrapText="1"/>
    </xf>
    <xf numFmtId="0" fontId="3" fillId="0" borderId="16" xfId="5" applyFont="1" applyBorder="1" applyAlignment="1">
      <alignment horizontal="left" vertical="center" wrapText="1"/>
    </xf>
    <xf numFmtId="0" fontId="4" fillId="3" borderId="19" xfId="6" applyFont="1" applyFill="1" applyBorder="1" applyAlignment="1">
      <alignment horizontal="center" vertical="center" wrapText="1"/>
    </xf>
    <xf numFmtId="0" fontId="4" fillId="3" borderId="19" xfId="11" applyFont="1" applyFill="1" applyBorder="1" applyAlignment="1">
      <alignment horizontal="center" vertical="center" wrapText="1"/>
    </xf>
    <xf numFmtId="0" fontId="3" fillId="0" borderId="22" xfId="5" applyFont="1" applyBorder="1" applyAlignment="1">
      <alignment horizontal="left" vertical="center" wrapText="1"/>
    </xf>
    <xf numFmtId="0" fontId="3" fillId="0" borderId="23" xfId="5" applyFont="1" applyBorder="1" applyAlignment="1">
      <alignment horizontal="left" vertical="center" wrapText="1"/>
    </xf>
    <xf numFmtId="0" fontId="3" fillId="0" borderId="24" xfId="5" applyFont="1" applyBorder="1" applyAlignment="1">
      <alignment horizontal="left" vertical="center" wrapText="1"/>
    </xf>
    <xf numFmtId="14" fontId="3" fillId="0" borderId="12" xfId="5" applyNumberFormat="1" applyFont="1" applyBorder="1" applyAlignment="1">
      <alignment horizontal="left" vertical="center" wrapText="1"/>
    </xf>
    <xf numFmtId="16" fontId="3" fillId="0" borderId="1" xfId="5" applyNumberFormat="1" applyFont="1" applyBorder="1" applyAlignment="1">
      <alignment horizontal="left" vertical="center" wrapText="1"/>
    </xf>
    <xf numFmtId="16" fontId="3" fillId="0" borderId="23" xfId="5" applyNumberFormat="1" applyFont="1" applyBorder="1" applyAlignment="1">
      <alignment horizontal="left" vertical="center" wrapText="1"/>
    </xf>
    <xf numFmtId="16" fontId="3" fillId="0" borderId="12" xfId="5" applyNumberFormat="1" applyFont="1" applyBorder="1" applyAlignment="1">
      <alignment horizontal="left" vertical="center" wrapText="1"/>
    </xf>
    <xf numFmtId="14" fontId="3" fillId="0" borderId="25" xfId="5" applyNumberFormat="1" applyFont="1" applyBorder="1" applyAlignment="1">
      <alignment horizontal="left" vertical="center" wrapText="1"/>
    </xf>
    <xf numFmtId="0" fontId="3" fillId="0" borderId="26" xfId="5" applyFont="1" applyBorder="1" applyAlignment="1">
      <alignment horizontal="left" vertical="center" wrapText="1"/>
    </xf>
    <xf numFmtId="14" fontId="3" fillId="0" borderId="28" xfId="5" applyNumberFormat="1" applyFont="1" applyBorder="1" applyAlignment="1">
      <alignment horizontal="left" vertical="center" wrapText="1"/>
    </xf>
    <xf numFmtId="0" fontId="3" fillId="0" borderId="27" xfId="5" applyFont="1" applyBorder="1" applyAlignment="1">
      <alignment horizontal="left" vertical="center" wrapText="1"/>
    </xf>
    <xf numFmtId="0" fontId="3" fillId="0" borderId="25" xfId="5" applyFont="1" applyBorder="1" applyAlignment="1">
      <alignment horizontal="left" vertical="center" wrapText="1"/>
    </xf>
    <xf numFmtId="0" fontId="3" fillId="0" borderId="29" xfId="5" applyFont="1" applyBorder="1" applyAlignment="1">
      <alignment horizontal="left" vertical="center" wrapText="1"/>
    </xf>
    <xf numFmtId="0" fontId="3" fillId="0" borderId="30" xfId="5" applyFont="1" applyBorder="1" applyAlignment="1">
      <alignment horizontal="left" vertical="center" wrapText="1"/>
    </xf>
    <xf numFmtId="0" fontId="3" fillId="0" borderId="31" xfId="5" applyFont="1" applyBorder="1" applyAlignment="1">
      <alignment horizontal="left" vertical="center" wrapText="1"/>
    </xf>
    <xf numFmtId="0" fontId="0" fillId="4" borderId="32" xfId="0" applyFill="1" applyBorder="1"/>
    <xf numFmtId="0" fontId="0" fillId="4" borderId="33" xfId="0" applyFill="1" applyBorder="1"/>
    <xf numFmtId="0" fontId="3" fillId="4" borderId="33" xfId="5" applyFont="1" applyFill="1" applyBorder="1" applyAlignment="1">
      <alignment horizontal="left" vertical="center" wrapText="1"/>
    </xf>
    <xf numFmtId="0" fontId="0" fillId="4" borderId="34" xfId="0" applyFill="1" applyBorder="1"/>
    <xf numFmtId="0" fontId="3" fillId="0" borderId="0" xfId="5" applyFont="1" applyFill="1" applyBorder="1" applyAlignment="1">
      <alignment horizontal="left" vertical="center" wrapText="1"/>
    </xf>
    <xf numFmtId="22" fontId="0" fillId="0" borderId="0" xfId="0" applyNumberFormat="1"/>
    <xf numFmtId="0" fontId="0" fillId="6" borderId="0" xfId="0" applyFill="1" applyBorder="1" applyAlignment="1">
      <alignment horizontal="left" vertical="center" wrapText="1"/>
    </xf>
    <xf numFmtId="0" fontId="0" fillId="0" borderId="0" xfId="0" applyBorder="1"/>
    <xf numFmtId="0" fontId="0" fillId="0" borderId="0" xfId="0" applyFill="1" applyBorder="1" applyAlignment="1">
      <alignment horizontal="left" indent="1"/>
    </xf>
    <xf numFmtId="0" fontId="6" fillId="5" borderId="0" xfId="0" applyFont="1" applyFill="1" applyBorder="1" applyAlignment="1">
      <alignment vertical="center" wrapText="1"/>
    </xf>
    <xf numFmtId="0" fontId="0" fillId="0" borderId="0" xfId="0" applyFont="1"/>
    <xf numFmtId="0" fontId="0" fillId="0" borderId="0" xfId="0" applyAlignment="1">
      <alignment horizontal="center" vertical="center"/>
    </xf>
    <xf numFmtId="0" fontId="0" fillId="6" borderId="0" xfId="0" applyFont="1" applyFill="1" applyBorder="1" applyAlignment="1">
      <alignment horizontal="left" vertical="center" wrapText="1"/>
    </xf>
    <xf numFmtId="0" fontId="0" fillId="0" borderId="0" xfId="0" applyAlignment="1">
      <alignment vertical="center"/>
    </xf>
    <xf numFmtId="0" fontId="0" fillId="0" borderId="0" xfId="0" applyFont="1" applyAlignment="1">
      <alignment vertical="center"/>
    </xf>
    <xf numFmtId="0" fontId="2" fillId="0" borderId="0" xfId="4"/>
    <xf numFmtId="0" fontId="2" fillId="0" borderId="0" xfId="5"/>
    <xf numFmtId="0" fontId="2" fillId="0" borderId="0" xfId="6"/>
    <xf numFmtId="0" fontId="2" fillId="0" borderId="0" xfId="7"/>
    <xf numFmtId="0" fontId="2" fillId="0" borderId="0" xfId="8"/>
    <xf numFmtId="0" fontId="2" fillId="0" borderId="0" xfId="1"/>
    <xf numFmtId="0" fontId="2" fillId="0" borderId="0" xfId="9"/>
    <xf numFmtId="0" fontId="2" fillId="0" borderId="0" xfId="10"/>
    <xf numFmtId="0" fontId="2" fillId="0" borderId="0" xfId="2"/>
    <xf numFmtId="0" fontId="2" fillId="0" borderId="0" xfId="11"/>
    <xf numFmtId="0" fontId="2" fillId="0" borderId="0" xfId="12"/>
    <xf numFmtId="0" fontId="2" fillId="0" borderId="0" xfId="13"/>
    <xf numFmtId="0" fontId="2" fillId="0" borderId="0" xfId="14"/>
    <xf numFmtId="0" fontId="2" fillId="0" borderId="0" xfId="15"/>
    <xf numFmtId="0" fontId="2" fillId="0" borderId="0" xfId="16"/>
    <xf numFmtId="0" fontId="2" fillId="0" borderId="0" xfId="17"/>
    <xf numFmtId="0" fontId="2" fillId="0" borderId="0" xfId="18"/>
    <xf numFmtId="0" fontId="2" fillId="0" borderId="0" xfId="3"/>
    <xf numFmtId="0" fontId="5" fillId="5" borderId="25" xfId="0" applyFont="1" applyFill="1" applyBorder="1" applyAlignment="1" applyProtection="1">
      <alignment horizontal="center" vertical="center" wrapText="1"/>
    </xf>
    <xf numFmtId="0" fontId="0" fillId="0" borderId="0" xfId="0" applyBorder="1" applyProtection="1"/>
    <xf numFmtId="0" fontId="0" fillId="0" borderId="1" xfId="0" applyBorder="1" applyAlignment="1" applyProtection="1">
      <alignment horizontal="center"/>
    </xf>
    <xf numFmtId="0" fontId="0" fillId="0" borderId="36" xfId="0" applyBorder="1"/>
    <xf numFmtId="0" fontId="0" fillId="0" borderId="37" xfId="0" applyBorder="1"/>
    <xf numFmtId="0" fontId="0" fillId="0" borderId="40" xfId="0" applyBorder="1"/>
    <xf numFmtId="0" fontId="0" fillId="0" borderId="41" xfId="0" applyBorder="1"/>
    <xf numFmtId="0" fontId="9" fillId="0" borderId="38" xfId="0" applyFont="1" applyBorder="1"/>
    <xf numFmtId="0" fontId="9" fillId="0" borderId="39" xfId="0" applyFont="1" applyBorder="1"/>
    <xf numFmtId="0" fontId="0" fillId="0" borderId="0" xfId="0" applyAlignment="1">
      <alignment wrapText="1"/>
    </xf>
    <xf numFmtId="0" fontId="0" fillId="0" borderId="0" xfId="0" applyAlignment="1">
      <alignment horizontal="center"/>
    </xf>
    <xf numFmtId="0" fontId="5" fillId="7" borderId="44" xfId="0" applyFont="1" applyFill="1" applyBorder="1" applyAlignment="1">
      <alignment horizontal="center" vertical="center" wrapText="1"/>
    </xf>
    <xf numFmtId="0" fontId="5" fillId="7" borderId="45" xfId="0" applyFont="1" applyFill="1" applyBorder="1" applyAlignment="1">
      <alignment horizontal="center" vertical="center" wrapText="1"/>
    </xf>
    <xf numFmtId="0" fontId="0" fillId="6" borderId="48" xfId="0" applyFill="1" applyBorder="1" applyAlignment="1">
      <alignment wrapText="1"/>
    </xf>
    <xf numFmtId="0" fontId="0" fillId="0" borderId="0" xfId="0" applyBorder="1" applyAlignment="1">
      <alignment horizontal="center" wrapText="1"/>
    </xf>
    <xf numFmtId="0" fontId="0" fillId="0" borderId="4" xfId="0" applyBorder="1" applyAlignment="1">
      <alignment horizontal="center" wrapText="1"/>
    </xf>
    <xf numFmtId="0" fontId="12" fillId="0" borderId="49" xfId="0" applyFont="1" applyBorder="1" applyAlignment="1">
      <alignment horizontal="center" wrapText="1"/>
    </xf>
    <xf numFmtId="0" fontId="12" fillId="0" borderId="50" xfId="0" applyFont="1" applyBorder="1" applyAlignment="1">
      <alignment horizontal="center" wrapText="1"/>
    </xf>
    <xf numFmtId="0" fontId="12" fillId="0" borderId="47" xfId="0" applyFont="1" applyBorder="1" applyAlignment="1">
      <alignment horizontal="center" wrapText="1"/>
    </xf>
    <xf numFmtId="0" fontId="0" fillId="6" borderId="46" xfId="0" applyFill="1" applyBorder="1" applyAlignment="1">
      <alignment vertical="center" wrapText="1"/>
    </xf>
    <xf numFmtId="0" fontId="0" fillId="6" borderId="48" xfId="0" applyFill="1" applyBorder="1" applyAlignment="1">
      <alignment vertical="center" wrapText="1"/>
    </xf>
    <xf numFmtId="0" fontId="0" fillId="0" borderId="43" xfId="0" applyBorder="1" applyAlignment="1">
      <alignment vertical="center" wrapText="1"/>
    </xf>
    <xf numFmtId="0" fontId="0" fillId="0" borderId="47" xfId="0" applyBorder="1" applyAlignment="1">
      <alignment vertical="top" wrapText="1"/>
    </xf>
    <xf numFmtId="0" fontId="0" fillId="0" borderId="50" xfId="0" applyBorder="1" applyAlignment="1">
      <alignment vertical="top" wrapText="1"/>
    </xf>
    <xf numFmtId="0" fontId="12" fillId="0" borderId="0" xfId="0" applyFont="1" applyBorder="1" applyAlignment="1">
      <alignment horizontal="center" wrapText="1"/>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5" fillId="0" borderId="0" xfId="20" applyAlignment="1" applyProtection="1"/>
    <xf numFmtId="0" fontId="16" fillId="0" borderId="0" xfId="0" applyFont="1"/>
    <xf numFmtId="0" fontId="3" fillId="0" borderId="0" xfId="0" applyFont="1" applyFill="1" applyBorder="1" applyAlignment="1">
      <alignment horizontal="center" vertical="center"/>
    </xf>
    <xf numFmtId="0" fontId="8" fillId="0" borderId="0" xfId="0" applyFont="1" applyBorder="1" applyAlignment="1">
      <alignment horizontal="justify" vertical="center" wrapText="1"/>
    </xf>
    <xf numFmtId="0" fontId="0" fillId="0" borderId="42" xfId="0" applyBorder="1" applyAlignment="1" applyProtection="1">
      <alignment horizontal="center"/>
    </xf>
    <xf numFmtId="0" fontId="5" fillId="5" borderId="46" xfId="0" applyFont="1" applyFill="1" applyBorder="1" applyAlignment="1" applyProtection="1">
      <alignment horizontal="center" vertical="center" wrapText="1"/>
    </xf>
    <xf numFmtId="0" fontId="5" fillId="5" borderId="42" xfId="0" applyFont="1" applyFill="1" applyBorder="1" applyAlignment="1" applyProtection="1">
      <alignment horizontal="center" vertical="center" wrapText="1"/>
    </xf>
    <xf numFmtId="0" fontId="13" fillId="13" borderId="42" xfId="0" applyFont="1" applyFill="1" applyBorder="1" applyAlignment="1">
      <alignment horizontal="center" vertical="center" wrapText="1"/>
    </xf>
    <xf numFmtId="0" fontId="14" fillId="13" borderId="47" xfId="0" applyFont="1" applyFill="1" applyBorder="1" applyAlignment="1">
      <alignment horizontal="center" vertical="center" wrapText="1"/>
    </xf>
    <xf numFmtId="0" fontId="2" fillId="10" borderId="42" xfId="0" applyFont="1" applyFill="1" applyBorder="1" applyAlignment="1" applyProtection="1">
      <alignment wrapText="1"/>
    </xf>
    <xf numFmtId="0" fontId="0" fillId="0" borderId="42" xfId="0" applyBorder="1" applyAlignment="1" applyProtection="1">
      <alignment horizontal="center" vertical="center" wrapText="1"/>
    </xf>
    <xf numFmtId="0" fontId="0" fillId="0" borderId="47" xfId="0" applyBorder="1"/>
    <xf numFmtId="0" fontId="0" fillId="0" borderId="47" xfId="0" applyBorder="1" applyAlignment="1">
      <alignment horizontal="center" vertical="center" wrapText="1"/>
    </xf>
    <xf numFmtId="0" fontId="2" fillId="10" borderId="42" xfId="0" applyFont="1" applyFill="1" applyBorder="1" applyAlignment="1" applyProtection="1">
      <alignment horizontal="left" vertical="center" wrapText="1"/>
    </xf>
    <xf numFmtId="0" fontId="0" fillId="12" borderId="48" xfId="0" applyFont="1" applyFill="1" applyBorder="1"/>
    <xf numFmtId="0" fontId="0" fillId="12" borderId="49" xfId="0" applyFill="1" applyBorder="1" applyAlignment="1">
      <alignment vertical="center"/>
    </xf>
    <xf numFmtId="0" fontId="0" fillId="12" borderId="49" xfId="0" applyFill="1" applyBorder="1"/>
    <xf numFmtId="0" fontId="0" fillId="12" borderId="50" xfId="0" applyFill="1" applyBorder="1" applyAlignment="1">
      <alignment horizontal="center" vertical="center"/>
    </xf>
    <xf numFmtId="0" fontId="0" fillId="6" borderId="46" xfId="0" applyFill="1" applyBorder="1" applyAlignment="1">
      <alignment horizontal="left" vertical="center" wrapText="1"/>
    </xf>
    <xf numFmtId="0" fontId="0" fillId="6" borderId="42" xfId="0" applyFill="1" applyBorder="1" applyAlignment="1">
      <alignment horizontal="left" vertical="center" wrapText="1"/>
    </xf>
    <xf numFmtId="0" fontId="0" fillId="0" borderId="46" xfId="0" applyBorder="1" applyAlignment="1" applyProtection="1">
      <alignment horizontal="center"/>
    </xf>
    <xf numFmtId="0" fontId="5" fillId="5" borderId="43" xfId="0" applyFont="1" applyFill="1" applyBorder="1" applyAlignment="1" applyProtection="1">
      <alignment horizontal="center" vertical="center" wrapText="1"/>
    </xf>
    <xf numFmtId="0" fontId="5" fillId="5" borderId="44" xfId="0" applyFont="1" applyFill="1" applyBorder="1" applyAlignment="1" applyProtection="1">
      <alignment horizontal="center" vertical="center" wrapText="1"/>
    </xf>
    <xf numFmtId="0" fontId="13" fillId="8" borderId="44" xfId="0" applyFont="1" applyFill="1" applyBorder="1" applyAlignment="1">
      <alignment horizontal="center" vertical="center" wrapText="1"/>
    </xf>
    <xf numFmtId="0" fontId="13" fillId="13" borderId="44" xfId="0" applyFont="1" applyFill="1" applyBorder="1" applyAlignment="1">
      <alignment horizontal="center" vertical="center" wrapText="1"/>
    </xf>
    <xf numFmtId="0" fontId="14" fillId="13" borderId="45" xfId="0" applyFont="1" applyFill="1" applyBorder="1" applyAlignment="1">
      <alignment horizontal="center" vertical="center" wrapText="1"/>
    </xf>
    <xf numFmtId="0" fontId="0" fillId="6" borderId="47" xfId="0" applyFill="1" applyBorder="1" applyAlignment="1">
      <alignment horizontal="left" vertical="center" wrapText="1"/>
    </xf>
    <xf numFmtId="0" fontId="10" fillId="0" borderId="42" xfId="0" applyFont="1" applyBorder="1" applyAlignment="1">
      <alignment wrapText="1"/>
    </xf>
    <xf numFmtId="0" fontId="0" fillId="0" borderId="42" xfId="0" applyBorder="1"/>
    <xf numFmtId="0" fontId="0" fillId="0" borderId="42" xfId="0" applyBorder="1" applyAlignment="1">
      <alignment wrapText="1"/>
    </xf>
    <xf numFmtId="0" fontId="0" fillId="0" borderId="47" xfId="0" applyBorder="1" applyAlignment="1">
      <alignment wrapText="1"/>
    </xf>
    <xf numFmtId="0" fontId="0" fillId="0" borderId="49" xfId="0" applyBorder="1" applyAlignment="1" applyProtection="1">
      <alignment horizontal="center" vertical="center" wrapText="1"/>
    </xf>
    <xf numFmtId="0" fontId="0" fillId="0" borderId="50" xfId="0" applyBorder="1"/>
    <xf numFmtId="0" fontId="2" fillId="10" borderId="42" xfId="0" applyFont="1" applyFill="1" applyBorder="1" applyAlignment="1" applyProtection="1">
      <alignment vertical="top" wrapText="1"/>
    </xf>
    <xf numFmtId="0" fontId="2" fillId="10" borderId="49" xfId="0" applyFont="1" applyFill="1" applyBorder="1" applyAlignment="1" applyProtection="1">
      <alignment wrapText="1"/>
    </xf>
    <xf numFmtId="0" fontId="0" fillId="0" borderId="0" xfId="0"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vertical="center" wrapText="1"/>
    </xf>
    <xf numFmtId="0" fontId="0" fillId="0" borderId="53" xfId="0" applyBorder="1"/>
    <xf numFmtId="0" fontId="2" fillId="10" borderId="42" xfId="0" applyFont="1" applyFill="1" applyBorder="1" applyAlignment="1" applyProtection="1">
      <alignment horizontal="left" vertical="top" wrapText="1"/>
    </xf>
    <xf numFmtId="0" fontId="2" fillId="10" borderId="52" xfId="0" applyFont="1" applyFill="1" applyBorder="1" applyAlignment="1" applyProtection="1">
      <alignment horizontal="left" vertical="center" wrapText="1"/>
    </xf>
    <xf numFmtId="0" fontId="0" fillId="0" borderId="52" xfId="0" applyBorder="1"/>
    <xf numFmtId="0" fontId="2" fillId="10" borderId="52" xfId="0" applyFont="1" applyFill="1" applyBorder="1" applyAlignment="1" applyProtection="1">
      <alignment vertical="top" wrapText="1"/>
    </xf>
    <xf numFmtId="0" fontId="0" fillId="0" borderId="53" xfId="0" applyBorder="1" applyAlignment="1">
      <alignment horizontal="center" vertical="center" wrapText="1"/>
    </xf>
    <xf numFmtId="0" fontId="2" fillId="10" borderId="52" xfId="0" applyFont="1" applyFill="1" applyBorder="1" applyAlignment="1" applyProtection="1">
      <alignment wrapText="1"/>
    </xf>
    <xf numFmtId="0" fontId="6" fillId="5" borderId="46" xfId="0" applyFont="1" applyFill="1" applyBorder="1" applyAlignment="1">
      <alignment vertical="center" wrapText="1"/>
    </xf>
    <xf numFmtId="0" fontId="0" fillId="6" borderId="42" xfId="0" applyFont="1" applyFill="1" applyBorder="1" applyAlignment="1">
      <alignment horizontal="left" vertical="center" wrapText="1"/>
    </xf>
    <xf numFmtId="0" fontId="0" fillId="6" borderId="47" xfId="0" applyFill="1" applyBorder="1" applyAlignment="1">
      <alignment horizontal="center" vertical="center" wrapText="1"/>
    </xf>
    <xf numFmtId="0" fontId="3" fillId="0" borderId="46" xfId="0" applyFont="1" applyFill="1" applyBorder="1" applyAlignment="1">
      <alignment horizontal="center" vertical="center"/>
    </xf>
    <xf numFmtId="0" fontId="0" fillId="0" borderId="47" xfId="0" applyBorder="1" applyAlignment="1">
      <alignment horizontal="center" vertical="center"/>
    </xf>
    <xf numFmtId="0" fontId="8" fillId="10" borderId="42" xfId="0" applyFont="1" applyFill="1" applyBorder="1" applyAlignment="1">
      <alignment horizontal="justify" vertical="center" wrapText="1"/>
    </xf>
    <xf numFmtId="0" fontId="3" fillId="10" borderId="42" xfId="0" applyFont="1" applyFill="1" applyBorder="1" applyAlignment="1">
      <alignment horizontal="justify" vertical="center" wrapText="1"/>
    </xf>
    <xf numFmtId="0" fontId="0" fillId="0" borderId="53" xfId="0" applyBorder="1" applyAlignment="1">
      <alignment horizontal="center" vertical="center"/>
    </xf>
    <xf numFmtId="0" fontId="9" fillId="0" borderId="43" xfId="0" applyFont="1" applyBorder="1" applyAlignment="1">
      <alignment vertical="center" wrapText="1"/>
    </xf>
    <xf numFmtId="0" fontId="0" fillId="0" borderId="46" xfId="0" applyBorder="1" applyAlignment="1">
      <alignment vertical="top"/>
    </xf>
    <xf numFmtId="0" fontId="0" fillId="0" borderId="48" xfId="0" applyBorder="1" applyAlignment="1">
      <alignment vertical="top"/>
    </xf>
    <xf numFmtId="0" fontId="0" fillId="0" borderId="46" xfId="0" applyBorder="1" applyAlignment="1">
      <alignment vertical="top" wrapText="1"/>
    </xf>
    <xf numFmtId="0" fontId="0" fillId="6" borderId="47" xfId="0" applyFill="1" applyBorder="1" applyAlignment="1">
      <alignment vertical="top" wrapText="1"/>
    </xf>
    <xf numFmtId="0" fontId="0" fillId="0" borderId="51" xfId="0" applyBorder="1" applyAlignment="1">
      <alignment vertical="top"/>
    </xf>
    <xf numFmtId="0" fontId="0" fillId="0" borderId="53" xfId="0" applyBorder="1" applyAlignment="1">
      <alignment vertical="top" wrapText="1"/>
    </xf>
    <xf numFmtId="0" fontId="0" fillId="6" borderId="53" xfId="0" applyFill="1" applyBorder="1" applyAlignment="1">
      <alignment vertical="top" wrapText="1"/>
    </xf>
    <xf numFmtId="0" fontId="9" fillId="6" borderId="46" xfId="0" applyFont="1" applyFill="1" applyBorder="1" applyAlignment="1">
      <alignment vertical="top"/>
    </xf>
    <xf numFmtId="0" fontId="9" fillId="10" borderId="51" xfId="0" applyFont="1" applyFill="1" applyBorder="1" applyAlignment="1">
      <alignment vertical="top"/>
    </xf>
    <xf numFmtId="0" fontId="0" fillId="10" borderId="53" xfId="0" applyFill="1" applyBorder="1" applyAlignment="1">
      <alignment vertical="top" wrapText="1"/>
    </xf>
    <xf numFmtId="0" fontId="0" fillId="0" borderId="0" xfId="0" applyBorder="1" applyAlignment="1">
      <alignment vertical="center"/>
    </xf>
    <xf numFmtId="0" fontId="0" fillId="0" borderId="55" xfId="0" applyBorder="1"/>
    <xf numFmtId="0" fontId="0" fillId="0" borderId="56" xfId="0" applyBorder="1" applyAlignment="1">
      <alignment horizontal="center" vertical="center"/>
    </xf>
    <xf numFmtId="0" fontId="0" fillId="0" borderId="54" xfId="0" applyBorder="1"/>
    <xf numFmtId="0" fontId="0" fillId="0" borderId="56" xfId="0" applyBorder="1"/>
    <xf numFmtId="0" fontId="0" fillId="0" borderId="44" xfId="0" applyBorder="1" applyAlignment="1">
      <alignment vertical="center" wrapText="1"/>
    </xf>
    <xf numFmtId="0" fontId="0" fillId="6" borderId="57" xfId="0" applyFill="1" applyBorder="1" applyAlignment="1">
      <alignment vertical="center" wrapText="1"/>
    </xf>
    <xf numFmtId="0" fontId="5" fillId="7" borderId="43" xfId="0" applyFont="1" applyFill="1" applyBorder="1" applyAlignment="1">
      <alignment horizontal="center" vertical="center" wrapText="1"/>
    </xf>
    <xf numFmtId="0" fontId="12" fillId="0" borderId="54" xfId="0" applyFont="1" applyBorder="1" applyAlignment="1">
      <alignment horizontal="center" wrapText="1"/>
    </xf>
    <xf numFmtId="0" fontId="0" fillId="6" borderId="56" xfId="0" applyFill="1" applyBorder="1" applyAlignment="1">
      <alignment vertical="center" wrapText="1"/>
    </xf>
    <xf numFmtId="0" fontId="12" fillId="0" borderId="58" xfId="0" applyFont="1" applyBorder="1" applyAlignment="1">
      <alignment horizontal="center" wrapText="1"/>
    </xf>
    <xf numFmtId="0" fontId="0" fillId="6" borderId="59" xfId="0" applyFill="1" applyBorder="1" applyAlignment="1">
      <alignment wrapText="1"/>
    </xf>
    <xf numFmtId="0" fontId="13" fillId="13" borderId="58" xfId="0" applyFont="1" applyFill="1" applyBorder="1" applyAlignment="1">
      <alignment horizontal="center" vertical="center" wrapText="1"/>
    </xf>
    <xf numFmtId="0" fontId="0" fillId="6" borderId="55" xfId="0" applyFill="1" applyBorder="1" applyAlignment="1">
      <alignment horizontal="left" vertical="center" wrapText="1"/>
    </xf>
    <xf numFmtId="0" fontId="12" fillId="0" borderId="56" xfId="0" applyFont="1" applyBorder="1" applyAlignment="1">
      <alignment horizontal="center" wrapText="1"/>
    </xf>
    <xf numFmtId="0" fontId="12" fillId="0" borderId="59" xfId="0" applyFont="1" applyBorder="1" applyAlignment="1">
      <alignment horizontal="center" wrapText="1"/>
    </xf>
    <xf numFmtId="0" fontId="0" fillId="0" borderId="55" xfId="0" applyBorder="1" applyAlignment="1" applyProtection="1">
      <alignment horizontal="center" vertical="center" wrapText="1"/>
    </xf>
    <xf numFmtId="0" fontId="0" fillId="0" borderId="65" xfId="0" applyBorder="1" applyAlignment="1">
      <alignment horizontal="center" vertical="center"/>
    </xf>
    <xf numFmtId="0" fontId="6" fillId="5" borderId="43" xfId="0" applyFont="1" applyFill="1" applyBorder="1" applyAlignment="1">
      <alignment horizontal="center" vertical="center" wrapText="1"/>
    </xf>
    <xf numFmtId="0" fontId="5" fillId="5" borderId="44" xfId="0" applyFont="1" applyFill="1" applyBorder="1" applyAlignment="1">
      <alignment horizontal="center" vertical="center" wrapText="1"/>
    </xf>
    <xf numFmtId="0" fontId="6" fillId="5" borderId="66" xfId="0" applyFont="1" applyFill="1" applyBorder="1" applyAlignment="1">
      <alignment vertical="center" wrapText="1"/>
    </xf>
    <xf numFmtId="0" fontId="0" fillId="6" borderId="67" xfId="0" applyFill="1" applyBorder="1" applyAlignment="1">
      <alignment horizontal="left" vertical="center" wrapText="1"/>
    </xf>
    <xf numFmtId="0" fontId="0" fillId="6" borderId="65" xfId="0" applyFill="1" applyBorder="1" applyAlignment="1">
      <alignment horizontal="center" vertical="center" wrapText="1"/>
    </xf>
    <xf numFmtId="0" fontId="3" fillId="0" borderId="66" xfId="0" applyFont="1" applyFill="1" applyBorder="1" applyAlignment="1">
      <alignment horizontal="center" vertical="center"/>
    </xf>
    <xf numFmtId="0" fontId="0" fillId="0" borderId="67" xfId="0" applyBorder="1"/>
    <xf numFmtId="0" fontId="3" fillId="10" borderId="67" xfId="0" applyFont="1" applyFill="1" applyBorder="1" applyAlignment="1">
      <alignment horizontal="justify" vertical="center" wrapText="1"/>
    </xf>
    <xf numFmtId="0" fontId="8" fillId="10" borderId="67" xfId="0" applyFont="1" applyFill="1" applyBorder="1" applyAlignment="1">
      <alignment horizontal="justify" vertical="center" wrapText="1"/>
    </xf>
    <xf numFmtId="0" fontId="3" fillId="0" borderId="65" xfId="0" applyFont="1" applyBorder="1" applyAlignment="1">
      <alignment horizontal="center" vertical="center" wrapText="1"/>
    </xf>
    <xf numFmtId="0" fontId="0" fillId="12" borderId="68" xfId="0" applyFont="1" applyFill="1" applyBorder="1"/>
    <xf numFmtId="0" fontId="0" fillId="12" borderId="69" xfId="0" applyFill="1" applyBorder="1" applyAlignment="1">
      <alignment vertical="center"/>
    </xf>
    <xf numFmtId="0" fontId="0" fillId="12" borderId="69" xfId="0" applyFill="1" applyBorder="1"/>
    <xf numFmtId="0" fontId="0" fillId="12" borderId="70" xfId="0" applyFill="1" applyBorder="1" applyAlignment="1">
      <alignment horizontal="center" vertical="center"/>
    </xf>
    <xf numFmtId="0" fontId="0" fillId="6" borderId="55" xfId="0" applyFont="1" applyFill="1" applyBorder="1" applyAlignment="1">
      <alignment horizontal="left" vertical="center" wrapText="1"/>
    </xf>
    <xf numFmtId="0" fontId="0" fillId="12" borderId="58" xfId="0" applyFont="1" applyFill="1" applyBorder="1"/>
    <xf numFmtId="0" fontId="0" fillId="12" borderId="57" xfId="0" applyFill="1" applyBorder="1" applyAlignment="1">
      <alignment vertical="center"/>
    </xf>
    <xf numFmtId="0" fontId="0" fillId="12" borderId="57" xfId="0" applyFill="1" applyBorder="1"/>
    <xf numFmtId="0" fontId="0" fillId="12" borderId="59" xfId="0" applyFill="1" applyBorder="1" applyAlignment="1">
      <alignment horizontal="center" vertical="center"/>
    </xf>
    <xf numFmtId="0" fontId="0" fillId="0" borderId="57" xfId="0" applyBorder="1"/>
    <xf numFmtId="0" fontId="0" fillId="0" borderId="59" xfId="0" applyBorder="1" applyAlignment="1">
      <alignment horizontal="center" vertical="center"/>
    </xf>
    <xf numFmtId="0" fontId="0" fillId="0" borderId="46" xfId="0" applyBorder="1" applyAlignment="1" applyProtection="1">
      <alignment horizontal="center" vertical="center"/>
    </xf>
    <xf numFmtId="0" fontId="0" fillId="0" borderId="64" xfId="0" applyBorder="1" applyAlignment="1" applyProtection="1">
      <alignment horizontal="center" vertical="center"/>
    </xf>
    <xf numFmtId="0" fontId="0" fillId="0" borderId="59" xfId="0" applyBorder="1"/>
    <xf numFmtId="0" fontId="1" fillId="0" borderId="0" xfId="21"/>
    <xf numFmtId="0" fontId="6" fillId="5" borderId="66" xfId="22" applyFont="1" applyFill="1" applyBorder="1" applyAlignment="1">
      <alignment vertical="center" wrapText="1"/>
    </xf>
    <xf numFmtId="0" fontId="6" fillId="5" borderId="43" xfId="22" applyFont="1" applyFill="1" applyBorder="1" applyAlignment="1">
      <alignment vertical="center" wrapText="1"/>
    </xf>
    <xf numFmtId="0" fontId="0" fillId="6" borderId="0" xfId="0" applyFill="1" applyBorder="1" applyAlignment="1">
      <alignment horizontal="center" vertical="center" wrapText="1"/>
    </xf>
    <xf numFmtId="0" fontId="0" fillId="0" borderId="0" xfId="0" applyAlignment="1">
      <alignment vertical="center"/>
    </xf>
    <xf numFmtId="0" fontId="0" fillId="0" borderId="44" xfId="0" applyBorder="1" applyAlignment="1">
      <alignment horizontal="left" vertical="center" wrapText="1"/>
    </xf>
    <xf numFmtId="0" fontId="0" fillId="0" borderId="46" xfId="0" applyBorder="1" applyAlignment="1">
      <alignment horizontal="center" vertical="center"/>
    </xf>
    <xf numFmtId="0" fontId="0" fillId="6" borderId="46" xfId="0" applyFill="1" applyBorder="1" applyAlignment="1">
      <alignment horizontal="center" vertical="center"/>
    </xf>
    <xf numFmtId="0" fontId="0" fillId="0" borderId="67" xfId="0" applyBorder="1" applyAlignment="1">
      <alignment horizontal="center" vertical="center"/>
    </xf>
    <xf numFmtId="0" fontId="0" fillId="0" borderId="65" xfId="0" applyBorder="1"/>
    <xf numFmtId="0" fontId="0" fillId="0" borderId="51" xfId="0" applyBorder="1" applyAlignment="1" applyProtection="1">
      <alignment horizontal="center" vertical="center"/>
    </xf>
    <xf numFmtId="0" fontId="0" fillId="0" borderId="0" xfId="0" applyAlignment="1">
      <alignment vertical="center"/>
    </xf>
    <xf numFmtId="0" fontId="0" fillId="6" borderId="69" xfId="0" applyFill="1" applyBorder="1" applyAlignment="1">
      <alignment horizontal="left" vertical="center" wrapText="1"/>
    </xf>
    <xf numFmtId="0" fontId="19" fillId="0" borderId="0" xfId="21" applyFont="1" applyAlignment="1">
      <alignment horizontal="center"/>
    </xf>
    <xf numFmtId="10" fontId="6" fillId="0" borderId="0" xfId="23" applyNumberFormat="1" applyFont="1"/>
    <xf numFmtId="0" fontId="20" fillId="11" borderId="0" xfId="0" applyFont="1" applyFill="1" applyAlignment="1">
      <alignment vertical="center"/>
    </xf>
    <xf numFmtId="0" fontId="20" fillId="11" borderId="0" xfId="0" applyFont="1" applyFill="1"/>
    <xf numFmtId="0" fontId="9" fillId="6" borderId="0" xfId="0" applyFont="1" applyFill="1" applyBorder="1" applyAlignment="1">
      <alignment horizontal="center" vertical="center" wrapText="1"/>
    </xf>
    <xf numFmtId="2" fontId="0" fillId="0" borderId="0" xfId="0" applyNumberFormat="1"/>
    <xf numFmtId="0" fontId="0" fillId="6" borderId="0" xfId="0" applyFill="1" applyBorder="1" applyAlignment="1">
      <alignment horizontal="left" wrapText="1"/>
    </xf>
    <xf numFmtId="0" fontId="0" fillId="6" borderId="0" xfId="0" applyFill="1" applyBorder="1" applyAlignment="1">
      <alignment wrapText="1"/>
    </xf>
    <xf numFmtId="0" fontId="2" fillId="0" borderId="3" xfId="0" applyFont="1" applyFill="1" applyBorder="1" applyAlignment="1">
      <alignment horizontal="center" vertical="center"/>
    </xf>
    <xf numFmtId="0" fontId="21" fillId="5" borderId="44" xfId="0" applyFont="1" applyFill="1" applyBorder="1" applyAlignment="1" applyProtection="1">
      <alignment horizontal="center" vertical="center" wrapText="1"/>
    </xf>
    <xf numFmtId="0" fontId="9" fillId="10" borderId="67" xfId="0" applyFont="1" applyFill="1" applyBorder="1" applyAlignment="1">
      <alignment horizontal="center" vertical="center"/>
    </xf>
    <xf numFmtId="0" fontId="3" fillId="0" borderId="68" xfId="0" applyFont="1" applyFill="1" applyBorder="1" applyAlignment="1">
      <alignment horizontal="center" vertical="center"/>
    </xf>
    <xf numFmtId="0" fontId="9" fillId="10" borderId="69" xfId="0" applyFont="1" applyFill="1" applyBorder="1" applyAlignment="1">
      <alignment horizontal="center" vertical="center"/>
    </xf>
    <xf numFmtId="0" fontId="0" fillId="0" borderId="69" xfId="0" applyBorder="1"/>
    <xf numFmtId="0" fontId="0" fillId="0" borderId="70" xfId="0" applyBorder="1" applyAlignment="1">
      <alignment horizontal="center" vertical="center"/>
    </xf>
    <xf numFmtId="0" fontId="11" fillId="10" borderId="0" xfId="0" applyFont="1" applyFill="1" applyBorder="1" applyAlignment="1">
      <alignment horizontal="left" wrapText="1"/>
    </xf>
    <xf numFmtId="0" fontId="11" fillId="10" borderId="0" xfId="0" applyFont="1" applyFill="1" applyBorder="1" applyAlignment="1">
      <alignment horizontal="center" wrapText="1"/>
    </xf>
    <xf numFmtId="0" fontId="0" fillId="10" borderId="0" xfId="0" applyFill="1"/>
    <xf numFmtId="0" fontId="0" fillId="0" borderId="69" xfId="0" applyBorder="1" applyAlignment="1">
      <alignment horizontal="center" vertical="center"/>
    </xf>
    <xf numFmtId="0" fontId="0" fillId="0" borderId="57" xfId="0" applyBorder="1" applyAlignment="1">
      <alignment horizontal="center" vertical="center"/>
    </xf>
    <xf numFmtId="0" fontId="0" fillId="0" borderId="72" xfId="0" applyBorder="1" applyAlignment="1" applyProtection="1">
      <alignment horizontal="center"/>
    </xf>
    <xf numFmtId="0" fontId="0" fillId="0" borderId="66" xfId="0" applyBorder="1" applyAlignment="1" applyProtection="1">
      <alignment horizontal="center" vertical="center"/>
    </xf>
    <xf numFmtId="0" fontId="0" fillId="0" borderId="67" xfId="0" applyBorder="1" applyAlignment="1" applyProtection="1">
      <alignment horizontal="center" vertical="center" wrapText="1"/>
    </xf>
    <xf numFmtId="0" fontId="6" fillId="0" borderId="0" xfId="0" applyFont="1"/>
    <xf numFmtId="0" fontId="6" fillId="10" borderId="0" xfId="0" applyFont="1" applyFill="1" applyAlignment="1">
      <alignment horizontal="center"/>
    </xf>
    <xf numFmtId="0" fontId="4" fillId="2" borderId="17" xfId="12" applyFont="1" applyFill="1" applyBorder="1" applyAlignment="1">
      <alignment horizontal="center" vertical="center" wrapText="1"/>
    </xf>
    <xf numFmtId="0" fontId="4" fillId="2" borderId="3" xfId="12" applyFont="1" applyFill="1" applyBorder="1" applyAlignment="1">
      <alignment horizontal="center" vertical="center" wrapText="1"/>
    </xf>
    <xf numFmtId="0" fontId="4" fillId="2" borderId="18" xfId="12" applyFont="1" applyFill="1" applyBorder="1" applyAlignment="1">
      <alignment horizontal="center" vertical="center" wrapText="1"/>
    </xf>
    <xf numFmtId="0" fontId="4" fillId="3" borderId="6" xfId="15" applyFont="1" applyFill="1" applyBorder="1" applyAlignment="1">
      <alignment horizontal="center" vertical="center" wrapText="1"/>
    </xf>
    <xf numFmtId="0" fontId="4" fillId="3" borderId="4" xfId="15" applyFont="1" applyFill="1" applyBorder="1" applyAlignment="1">
      <alignment horizontal="center" vertical="center" wrapText="1"/>
    </xf>
    <xf numFmtId="0" fontId="4" fillId="3" borderId="8" xfId="15" applyFont="1" applyFill="1" applyBorder="1" applyAlignment="1">
      <alignment horizontal="center" vertical="center" wrapText="1"/>
    </xf>
    <xf numFmtId="0" fontId="4" fillId="3" borderId="20" xfId="13" applyFont="1" applyFill="1" applyBorder="1" applyAlignment="1">
      <alignment horizontal="center" vertical="center" wrapText="1"/>
    </xf>
    <xf numFmtId="0" fontId="4" fillId="3" borderId="7" xfId="13" applyFont="1" applyFill="1" applyBorder="1" applyAlignment="1">
      <alignment horizontal="center" vertical="center" wrapText="1"/>
    </xf>
    <xf numFmtId="0" fontId="4" fillId="3" borderId="9" xfId="16" applyFont="1" applyFill="1" applyBorder="1" applyAlignment="1">
      <alignment horizontal="center" vertical="center" wrapText="1"/>
    </xf>
    <xf numFmtId="0" fontId="4" fillId="3" borderId="4" xfId="16" applyFont="1" applyFill="1" applyBorder="1" applyAlignment="1">
      <alignment horizontal="center" vertical="center" wrapText="1"/>
    </xf>
    <xf numFmtId="0" fontId="4" fillId="3" borderId="6" xfId="18" applyFont="1" applyFill="1" applyBorder="1" applyAlignment="1">
      <alignment horizontal="center" vertical="center" wrapText="1"/>
    </xf>
    <xf numFmtId="0" fontId="4" fillId="3" borderId="4" xfId="18" applyFont="1" applyFill="1" applyBorder="1" applyAlignment="1">
      <alignment horizontal="center" vertical="center" wrapText="1"/>
    </xf>
    <xf numFmtId="0" fontId="4" fillId="3" borderId="21" xfId="18" applyFont="1" applyFill="1" applyBorder="1" applyAlignment="1">
      <alignment horizontal="center" vertical="center" wrapText="1"/>
    </xf>
    <xf numFmtId="0" fontId="4" fillId="3" borderId="6" xfId="17" applyFont="1" applyFill="1" applyBorder="1" applyAlignment="1">
      <alignment horizontal="center" vertical="center" wrapText="1"/>
    </xf>
    <xf numFmtId="0" fontId="4" fillId="3" borderId="4" xfId="17" applyFont="1" applyFill="1" applyBorder="1" applyAlignment="1">
      <alignment horizontal="center" vertical="center" wrapText="1"/>
    </xf>
    <xf numFmtId="0" fontId="4" fillId="3" borderId="7" xfId="17" applyFont="1" applyFill="1" applyBorder="1" applyAlignment="1">
      <alignment horizontal="center" vertical="center" wrapText="1"/>
    </xf>
    <xf numFmtId="0" fontId="4" fillId="3" borderId="20" xfId="8" applyFont="1" applyFill="1" applyBorder="1" applyAlignment="1">
      <alignment horizontal="center" vertical="center" wrapText="1"/>
    </xf>
    <xf numFmtId="0" fontId="4" fillId="3" borderId="4" xfId="8" applyFont="1" applyFill="1" applyBorder="1" applyAlignment="1">
      <alignment horizontal="center" vertical="center" wrapText="1"/>
    </xf>
    <xf numFmtId="0" fontId="4" fillId="3" borderId="6" xfId="9" applyFont="1" applyFill="1" applyBorder="1" applyAlignment="1">
      <alignment horizontal="center" vertical="center" wrapText="1"/>
    </xf>
    <xf numFmtId="0" fontId="4" fillId="3" borderId="4" xfId="9" applyFont="1" applyFill="1" applyBorder="1" applyAlignment="1">
      <alignment horizontal="center" vertical="center" wrapText="1"/>
    </xf>
    <xf numFmtId="0" fontId="4" fillId="3" borderId="6" xfId="10" applyFont="1" applyFill="1" applyBorder="1" applyAlignment="1">
      <alignment horizontal="center" vertical="center" wrapText="1"/>
    </xf>
    <xf numFmtId="0" fontId="4" fillId="3" borderId="7" xfId="10" applyFont="1" applyFill="1" applyBorder="1" applyAlignment="1">
      <alignment horizontal="center" vertical="center" wrapText="1"/>
    </xf>
    <xf numFmtId="0" fontId="4" fillId="2" borderId="17" xfId="7" applyFont="1" applyFill="1" applyBorder="1" applyAlignment="1">
      <alignment horizontal="center" vertical="center" wrapText="1"/>
    </xf>
    <xf numFmtId="0" fontId="4" fillId="2" borderId="3" xfId="7" applyFont="1" applyFill="1" applyBorder="1" applyAlignment="1">
      <alignment horizontal="center" vertical="center" wrapText="1"/>
    </xf>
    <xf numFmtId="0" fontId="4" fillId="2" borderId="18" xfId="7"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3" borderId="11" xfId="2" applyFont="1" applyFill="1" applyBorder="1" applyAlignment="1">
      <alignment horizontal="center" vertical="center" wrapText="1"/>
    </xf>
    <xf numFmtId="0" fontId="4" fillId="3" borderId="5" xfId="2" applyFont="1" applyFill="1" applyBorder="1" applyAlignment="1">
      <alignment horizontal="center" vertical="center" wrapText="1"/>
    </xf>
    <xf numFmtId="0" fontId="4" fillId="3" borderId="15" xfId="2"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4" fillId="3" borderId="6" xfId="3" applyFont="1" applyFill="1" applyBorder="1" applyAlignment="1">
      <alignment horizontal="center" vertical="center" wrapText="1"/>
    </xf>
    <xf numFmtId="0" fontId="4" fillId="3" borderId="4" xfId="3" applyFont="1" applyFill="1" applyBorder="1" applyAlignment="1">
      <alignment horizontal="center" vertical="center" wrapText="1"/>
    </xf>
    <xf numFmtId="0" fontId="4" fillId="3" borderId="7" xfId="3" applyFont="1" applyFill="1" applyBorder="1" applyAlignment="1">
      <alignment horizontal="center" vertical="center" wrapText="1"/>
    </xf>
    <xf numFmtId="0" fontId="4" fillId="3" borderId="6" xfId="4" applyFont="1" applyFill="1" applyBorder="1" applyAlignment="1">
      <alignment horizontal="center" vertical="center" wrapText="1"/>
    </xf>
    <xf numFmtId="0" fontId="4" fillId="3" borderId="4" xfId="4" applyFont="1" applyFill="1" applyBorder="1" applyAlignment="1">
      <alignment horizontal="center" vertical="center" wrapText="1"/>
    </xf>
    <xf numFmtId="0" fontId="4" fillId="3" borderId="7" xfId="4" applyFont="1" applyFill="1" applyBorder="1" applyAlignment="1">
      <alignment horizontal="center" vertical="center" wrapText="1"/>
    </xf>
    <xf numFmtId="0" fontId="0" fillId="0" borderId="57" xfId="0" applyBorder="1" applyAlignment="1">
      <alignment horizontal="center" vertical="center" wrapText="1"/>
    </xf>
    <xf numFmtId="0" fontId="5" fillId="7" borderId="52" xfId="0" applyFont="1" applyFill="1" applyBorder="1" applyAlignment="1">
      <alignment horizontal="center" vertical="center" wrapText="1"/>
    </xf>
    <xf numFmtId="0" fontId="5" fillId="7" borderId="53" xfId="0" applyFont="1" applyFill="1" applyBorder="1" applyAlignment="1">
      <alignment horizontal="center" vertical="center" wrapText="1"/>
    </xf>
    <xf numFmtId="0" fontId="5" fillId="7" borderId="55" xfId="0" applyFont="1" applyFill="1" applyBorder="1" applyAlignment="1">
      <alignment horizontal="center" vertical="center" wrapText="1"/>
    </xf>
    <xf numFmtId="0" fontId="0" fillId="0" borderId="61" xfId="0" applyBorder="1" applyAlignment="1">
      <alignment horizontal="center" vertical="center" wrapText="1"/>
    </xf>
    <xf numFmtId="0" fontId="11" fillId="11" borderId="0" xfId="0" applyFont="1" applyFill="1" applyAlignment="1">
      <alignment horizontal="center" wrapText="1"/>
    </xf>
    <xf numFmtId="0" fontId="11" fillId="11" borderId="43" xfId="0" applyFont="1" applyFill="1" applyBorder="1" applyAlignment="1">
      <alignment horizontal="center" wrapText="1"/>
    </xf>
    <xf numFmtId="0" fontId="11" fillId="11" borderId="44" xfId="0" applyFont="1" applyFill="1" applyBorder="1" applyAlignment="1">
      <alignment horizontal="center" wrapText="1"/>
    </xf>
    <xf numFmtId="0" fontId="11" fillId="11" borderId="45" xfId="0" applyFont="1" applyFill="1" applyBorder="1" applyAlignment="1">
      <alignment horizontal="center" wrapText="1"/>
    </xf>
    <xf numFmtId="0" fontId="0" fillId="6" borderId="0" xfId="0" applyFill="1" applyBorder="1" applyAlignment="1">
      <alignment horizontal="center" vertical="center" wrapText="1"/>
    </xf>
    <xf numFmtId="0" fontId="0" fillId="0" borderId="62" xfId="0" applyBorder="1" applyAlignment="1">
      <alignment horizontal="center" vertical="center" wrapText="1"/>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6" borderId="48" xfId="0" applyFill="1" applyBorder="1" applyAlignment="1">
      <alignment horizontal="left" vertical="center" wrapText="1"/>
    </xf>
    <xf numFmtId="0" fontId="0" fillId="6" borderId="49" xfId="0" applyFill="1" applyBorder="1" applyAlignment="1">
      <alignment horizontal="left" vertical="center" wrapText="1"/>
    </xf>
    <xf numFmtId="0" fontId="11" fillId="11" borderId="32" xfId="0" applyFont="1" applyFill="1" applyBorder="1" applyAlignment="1">
      <alignment horizontal="left" wrapText="1"/>
    </xf>
    <xf numFmtId="0" fontId="11" fillId="11" borderId="33" xfId="0" applyFont="1" applyFill="1" applyBorder="1" applyAlignment="1">
      <alignment horizontal="left" wrapText="1"/>
    </xf>
    <xf numFmtId="0" fontId="11" fillId="11" borderId="34" xfId="0" applyFont="1" applyFill="1" applyBorder="1" applyAlignment="1">
      <alignment horizontal="left" wrapText="1"/>
    </xf>
    <xf numFmtId="0" fontId="0" fillId="0" borderId="17" xfId="0" applyBorder="1" applyAlignment="1">
      <alignment horizontal="left" vertical="center" wrapText="1"/>
    </xf>
    <xf numFmtId="0" fontId="0" fillId="0" borderId="63" xfId="0" applyBorder="1" applyAlignment="1">
      <alignment horizontal="left" vertical="center" wrapText="1"/>
    </xf>
    <xf numFmtId="0" fontId="11" fillId="11" borderId="3" xfId="0" applyFont="1" applyFill="1" applyBorder="1" applyAlignment="1">
      <alignment horizontal="left" wrapText="1"/>
    </xf>
    <xf numFmtId="0" fontId="11" fillId="11" borderId="0" xfId="0" applyFont="1" applyFill="1" applyBorder="1" applyAlignment="1">
      <alignment horizontal="left" wrapText="1"/>
    </xf>
    <xf numFmtId="0" fontId="0" fillId="6" borderId="3" xfId="0" applyFill="1" applyBorder="1" applyAlignment="1">
      <alignment horizontal="left" vertical="center" wrapText="1"/>
    </xf>
    <xf numFmtId="0" fontId="0" fillId="6" borderId="60" xfId="0" applyFill="1" applyBorder="1" applyAlignment="1">
      <alignment horizontal="left" vertical="center" wrapText="1"/>
    </xf>
    <xf numFmtId="0" fontId="0" fillId="6" borderId="18" xfId="0" applyFill="1" applyBorder="1" applyAlignment="1">
      <alignment horizontal="left" wrapText="1"/>
    </xf>
    <xf numFmtId="0" fontId="0" fillId="6" borderId="62" xfId="0" applyFill="1" applyBorder="1" applyAlignment="1">
      <alignment horizontal="left" wrapText="1"/>
    </xf>
    <xf numFmtId="0" fontId="11" fillId="11" borderId="43" xfId="0" applyFont="1" applyFill="1" applyBorder="1" applyAlignment="1">
      <alignment horizontal="left" wrapText="1"/>
    </xf>
    <xf numFmtId="0" fontId="11" fillId="11" borderId="44" xfId="0" applyFont="1" applyFill="1" applyBorder="1" applyAlignment="1">
      <alignment horizontal="left" wrapText="1"/>
    </xf>
    <xf numFmtId="0" fontId="11" fillId="11" borderId="45" xfId="0" applyFont="1" applyFill="1" applyBorder="1" applyAlignment="1">
      <alignment horizontal="left" wrapText="1"/>
    </xf>
    <xf numFmtId="0" fontId="11" fillId="11" borderId="17" xfId="0" applyFont="1" applyFill="1" applyBorder="1" applyAlignment="1">
      <alignment horizontal="left" wrapText="1"/>
    </xf>
    <xf numFmtId="0" fontId="11" fillId="11" borderId="71" xfId="0" applyFont="1" applyFill="1" applyBorder="1" applyAlignment="1">
      <alignment horizontal="left" wrapText="1"/>
    </xf>
    <xf numFmtId="0" fontId="0" fillId="0" borderId="44" xfId="0" applyBorder="1"/>
    <xf numFmtId="0" fontId="0" fillId="0" borderId="45" xfId="0" applyBorder="1"/>
    <xf numFmtId="0" fontId="8" fillId="10" borderId="67" xfId="0" applyNumberFormat="1" applyFont="1" applyFill="1" applyBorder="1" applyAlignment="1">
      <alignment horizontal="justify" vertical="center" wrapText="1"/>
    </xf>
    <xf numFmtId="0" fontId="8" fillId="10" borderId="67" xfId="0" applyFont="1" applyFill="1" applyBorder="1" applyAlignment="1">
      <alignment wrapText="1"/>
    </xf>
    <xf numFmtId="0" fontId="2" fillId="10" borderId="67" xfId="0" applyFont="1" applyFill="1" applyBorder="1" applyAlignment="1">
      <alignment horizontal="justify" vertical="center" wrapText="1"/>
    </xf>
    <xf numFmtId="0" fontId="3" fillId="10" borderId="67" xfId="0" applyNumberFormat="1" applyFont="1" applyFill="1" applyBorder="1" applyAlignment="1">
      <alignment horizontal="justify" vertical="center" wrapText="1"/>
    </xf>
    <xf numFmtId="0" fontId="3" fillId="10" borderId="67" xfId="0" applyFont="1" applyFill="1" applyBorder="1" applyAlignment="1">
      <alignment horizontal="justify" wrapText="1"/>
    </xf>
    <xf numFmtId="0" fontId="3" fillId="14" borderId="67" xfId="0" applyFont="1" applyFill="1" applyBorder="1" applyAlignment="1">
      <alignment horizontal="justify" vertical="center" wrapText="1"/>
    </xf>
    <xf numFmtId="0" fontId="2" fillId="14" borderId="67" xfId="0" applyFont="1" applyFill="1" applyBorder="1" applyAlignment="1">
      <alignment horizontal="justify" vertical="center" wrapText="1"/>
    </xf>
    <xf numFmtId="0" fontId="2" fillId="10" borderId="55" xfId="0" applyFont="1" applyFill="1" applyBorder="1" applyAlignment="1">
      <alignment horizontal="left" vertical="center" wrapText="1"/>
    </xf>
    <xf numFmtId="0" fontId="3" fillId="10" borderId="55" xfId="0" applyFont="1" applyFill="1" applyBorder="1" applyAlignment="1">
      <alignment horizontal="justify" vertical="center"/>
    </xf>
    <xf numFmtId="0" fontId="2" fillId="10" borderId="55" xfId="0" applyFont="1" applyFill="1" applyBorder="1" applyAlignment="1">
      <alignment horizontal="justify" vertical="center"/>
    </xf>
    <xf numFmtId="0" fontId="8" fillId="10" borderId="55" xfId="0" applyFont="1" applyFill="1" applyBorder="1" applyAlignment="1">
      <alignment horizontal="justify" vertical="center"/>
    </xf>
    <xf numFmtId="0" fontId="2" fillId="10" borderId="55" xfId="0" applyFont="1" applyFill="1" applyBorder="1" applyAlignment="1">
      <alignment horizontal="justify" vertical="center" wrapText="1"/>
    </xf>
    <xf numFmtId="0" fontId="3" fillId="10" borderId="55" xfId="0" applyFont="1" applyFill="1" applyBorder="1" applyAlignment="1">
      <alignment horizontal="left" vertical="top" wrapText="1"/>
    </xf>
    <xf numFmtId="0" fontId="0" fillId="10" borderId="55" xfId="0" applyFill="1" applyBorder="1" applyAlignment="1">
      <alignment wrapText="1"/>
    </xf>
    <xf numFmtId="0" fontId="2" fillId="10" borderId="55" xfId="0" applyFont="1" applyFill="1" applyBorder="1" applyAlignment="1">
      <alignment horizontal="left" vertical="top" wrapText="1"/>
    </xf>
    <xf numFmtId="0" fontId="3" fillId="10" borderId="55" xfId="0" applyFont="1" applyFill="1" applyBorder="1" applyAlignment="1">
      <alignment horizontal="justify" vertical="center" wrapText="1"/>
    </xf>
    <xf numFmtId="0" fontId="8" fillId="10" borderId="55" xfId="0" applyFont="1" applyFill="1" applyBorder="1" applyAlignment="1">
      <alignment horizontal="justify" vertical="center" wrapText="1"/>
    </xf>
    <xf numFmtId="0" fontId="8" fillId="14" borderId="55" xfId="0" applyFont="1" applyFill="1" applyBorder="1" applyAlignment="1">
      <alignment horizontal="justify" vertical="center" wrapText="1"/>
    </xf>
    <xf numFmtId="0" fontId="2" fillId="10" borderId="57" xfId="0" applyFont="1" applyFill="1" applyBorder="1" applyAlignment="1">
      <alignment horizontal="justify" vertical="center" wrapText="1"/>
    </xf>
    <xf numFmtId="0" fontId="8" fillId="10" borderId="42" xfId="0" applyFont="1" applyFill="1" applyBorder="1" applyAlignment="1">
      <alignment horizontal="justify" wrapText="1"/>
    </xf>
    <xf numFmtId="0" fontId="0" fillId="10" borderId="42" xfId="0" applyFill="1" applyBorder="1" applyAlignment="1">
      <alignment vertical="center" wrapText="1"/>
    </xf>
    <xf numFmtId="0" fontId="3" fillId="10" borderId="42" xfId="0" applyFont="1" applyFill="1" applyBorder="1" applyAlignment="1">
      <alignment horizontal="justify" wrapText="1"/>
    </xf>
    <xf numFmtId="0" fontId="0" fillId="10" borderId="52" xfId="0" applyFill="1" applyBorder="1" applyAlignment="1">
      <alignment vertical="center" wrapText="1"/>
    </xf>
    <xf numFmtId="0" fontId="2" fillId="10" borderId="0" xfId="0" applyFont="1" applyFill="1" applyBorder="1" applyAlignment="1">
      <alignment horizontal="justify" vertical="center" wrapText="1"/>
    </xf>
    <xf numFmtId="0" fontId="2" fillId="10" borderId="55" xfId="0" applyFont="1" applyFill="1" applyBorder="1" applyAlignment="1" applyProtection="1">
      <alignment horizontal="left" vertical="center" wrapText="1"/>
    </xf>
    <xf numFmtId="0" fontId="2" fillId="10" borderId="67" xfId="0" applyFont="1" applyFill="1" applyBorder="1" applyAlignment="1" applyProtection="1">
      <alignment horizontal="left" vertical="center" wrapText="1"/>
    </xf>
    <xf numFmtId="0" fontId="10" fillId="10" borderId="42" xfId="0" applyFont="1" applyFill="1" applyBorder="1" applyAlignment="1">
      <alignment wrapText="1"/>
    </xf>
    <xf numFmtId="0" fontId="10" fillId="10" borderId="55" xfId="0" applyFont="1" applyFill="1" applyBorder="1" applyAlignment="1">
      <alignment wrapText="1"/>
    </xf>
    <xf numFmtId="0" fontId="2" fillId="10" borderId="35" xfId="0" applyFont="1" applyFill="1" applyBorder="1" applyAlignment="1">
      <alignment horizontal="justify" vertical="center" wrapText="1"/>
    </xf>
    <xf numFmtId="0" fontId="2" fillId="10" borderId="0" xfId="0" applyFont="1" applyFill="1" applyBorder="1" applyAlignment="1" applyProtection="1">
      <alignment vertical="top" wrapText="1"/>
    </xf>
    <xf numFmtId="0" fontId="2" fillId="10" borderId="42" xfId="0" applyFont="1" applyFill="1" applyBorder="1" applyAlignment="1">
      <alignment horizontal="justify" vertical="center" wrapText="1"/>
    </xf>
    <xf numFmtId="0" fontId="0" fillId="10" borderId="57" xfId="0" applyFill="1" applyBorder="1" applyAlignment="1">
      <alignment wrapText="1"/>
    </xf>
    <xf numFmtId="0" fontId="3" fillId="10" borderId="67" xfId="0" applyFont="1" applyFill="1" applyBorder="1" applyAlignment="1">
      <alignment horizontal="justify" vertical="top" wrapText="1"/>
    </xf>
    <xf numFmtId="0" fontId="0" fillId="10" borderId="67" xfId="0" applyFill="1" applyBorder="1" applyAlignment="1">
      <alignment vertical="center" wrapText="1"/>
    </xf>
    <xf numFmtId="0" fontId="3" fillId="10" borderId="67" xfId="0" applyFont="1" applyFill="1" applyBorder="1" applyAlignment="1">
      <alignment horizontal="justify" vertical="center"/>
    </xf>
    <xf numFmtId="0" fontId="8" fillId="10" borderId="67" xfId="0" applyFont="1" applyFill="1" applyBorder="1" applyAlignment="1">
      <alignment horizontal="justify" vertical="center"/>
    </xf>
    <xf numFmtId="0" fontId="2" fillId="10" borderId="67" xfId="0" applyFont="1" applyFill="1" applyBorder="1" applyAlignment="1">
      <alignment horizontal="justify" vertical="top" wrapText="1"/>
    </xf>
    <xf numFmtId="0" fontId="2" fillId="10" borderId="69" xfId="0" applyFont="1" applyFill="1" applyBorder="1" applyAlignment="1">
      <alignment horizontal="justify" vertical="center" wrapText="1"/>
    </xf>
    <xf numFmtId="0" fontId="13" fillId="10" borderId="0" xfId="0" applyFont="1" applyFill="1" applyBorder="1" applyAlignment="1">
      <alignment horizontal="center" vertical="center" wrapText="1"/>
    </xf>
    <xf numFmtId="0" fontId="0" fillId="10" borderId="0" xfId="0" applyFill="1" applyBorder="1" applyAlignment="1">
      <alignment horizontal="center" vertical="center" wrapText="1"/>
    </xf>
    <xf numFmtId="0" fontId="0" fillId="10" borderId="0" xfId="0" applyFill="1" applyBorder="1" applyAlignment="1">
      <alignment vertical="center"/>
    </xf>
    <xf numFmtId="0" fontId="21" fillId="5" borderId="66" xfId="0" applyFont="1" applyFill="1" applyBorder="1" applyAlignment="1" applyProtection="1">
      <alignment horizontal="center" vertical="center" wrapText="1"/>
    </xf>
    <xf numFmtId="0" fontId="0" fillId="0" borderId="67" xfId="0" applyBorder="1" applyAlignment="1">
      <alignment horizontal="center" vertical="center" wrapText="1"/>
    </xf>
    <xf numFmtId="0" fontId="0" fillId="0" borderId="67" xfId="0" applyBorder="1" applyAlignment="1">
      <alignment vertical="center"/>
    </xf>
    <xf numFmtId="0" fontId="0" fillId="0" borderId="65" xfId="0" applyBorder="1" applyAlignment="1">
      <alignment vertical="center"/>
    </xf>
    <xf numFmtId="0" fontId="13" fillId="8" borderId="66" xfId="0" applyFont="1" applyFill="1" applyBorder="1" applyAlignment="1">
      <alignment horizontal="center" vertical="center" wrapText="1"/>
    </xf>
    <xf numFmtId="0" fontId="13" fillId="8" borderId="68" xfId="0" applyFont="1" applyFill="1" applyBorder="1" applyAlignment="1">
      <alignment horizontal="center" vertical="center" wrapText="1"/>
    </xf>
    <xf numFmtId="0" fontId="0" fillId="0" borderId="69" xfId="0" applyBorder="1" applyAlignment="1">
      <alignment horizontal="center" vertical="center" wrapText="1"/>
    </xf>
    <xf numFmtId="0" fontId="0" fillId="0" borderId="69" xfId="0" applyBorder="1" applyAlignment="1">
      <alignment vertical="center"/>
    </xf>
    <xf numFmtId="0" fontId="0" fillId="0" borderId="70" xfId="0" applyBorder="1" applyAlignment="1">
      <alignment vertical="center"/>
    </xf>
    <xf numFmtId="0" fontId="0" fillId="0" borderId="66" xfId="0" applyBorder="1"/>
    <xf numFmtId="0" fontId="5" fillId="7" borderId="67" xfId="0" applyFont="1" applyFill="1" applyBorder="1" applyAlignment="1">
      <alignment horizontal="center" vertical="center" wrapText="1"/>
    </xf>
    <xf numFmtId="0" fontId="5" fillId="7" borderId="65" xfId="0" applyFont="1" applyFill="1" applyBorder="1" applyAlignment="1">
      <alignment horizontal="center" vertical="center" wrapText="1"/>
    </xf>
    <xf numFmtId="0" fontId="13" fillId="13" borderId="66" xfId="0" applyFont="1" applyFill="1" applyBorder="1" applyAlignment="1">
      <alignment horizontal="center" vertical="center" wrapText="1"/>
    </xf>
    <xf numFmtId="0" fontId="13" fillId="13" borderId="68" xfId="0" applyFont="1" applyFill="1" applyBorder="1" applyAlignment="1">
      <alignment horizontal="center" vertical="center" wrapText="1"/>
    </xf>
  </cellXfs>
  <cellStyles count="24">
    <cellStyle name="Excel Built-in Accent1" xfId="19"/>
    <cellStyle name="Hyperlink" xfId="20" builtinId="8"/>
    <cellStyle name="Normal" xfId="0" builtinId="0"/>
    <cellStyle name="Normal 11" xfId="4"/>
    <cellStyle name="Normal 13" xfId="5"/>
    <cellStyle name="Normal 16" xfId="6"/>
    <cellStyle name="Normal 17" xfId="7"/>
    <cellStyle name="Normal 18" xfId="8"/>
    <cellStyle name="Normal 2" xfId="1"/>
    <cellStyle name="Normal 22" xfId="9"/>
    <cellStyle name="Normal 28" xfId="10"/>
    <cellStyle name="Normal 3" xfId="2"/>
    <cellStyle name="Normal 31" xfId="11"/>
    <cellStyle name="Normal 33" xfId="12"/>
    <cellStyle name="Normal 34" xfId="13"/>
    <cellStyle name="Normal 36" xfId="14"/>
    <cellStyle name="Normal 37" xfId="15"/>
    <cellStyle name="Normal 39" xfId="16"/>
    <cellStyle name="Normal 4" xfId="22"/>
    <cellStyle name="Normal 40" xfId="17"/>
    <cellStyle name="Normal 42" xfId="18"/>
    <cellStyle name="Normal 5" xfId="21"/>
    <cellStyle name="Normal 6" xfId="3"/>
    <cellStyle name="Percent" xfId="23" builtinId="5"/>
  </cellStyles>
  <dxfs count="0"/>
  <tableStyles count="0" defaultTableStyle="TableStyleMedium2" defaultPivotStyle="PivotStyleLight16"/>
  <colors>
    <mruColors>
      <color rgb="FFCC3300"/>
      <color rgb="FFFF66FF"/>
      <color rgb="FFFF00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rmancera002/Desktop/Control%20de%20Versiones/Entregado%20Mayo%2028/Doc%20Analisis%20Fogacoop/Anexo%201%20-%20Requerimientos%20Funcionales%20y%20No%20funcionales_V16%20-%20Cambios%20Adria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sheetName val="Divulgación Seguro"/>
      <sheetName val="Admon del Riesgo"/>
      <sheetName val="Admon Reserva"/>
      <sheetName val="Ej. Medidas de intervención"/>
      <sheetName val="Gestión de Procesos"/>
      <sheetName val="Gestión Dtal - Cdencia y Sols. "/>
      <sheetName val="DV-IDENTITY-0"/>
    </sheetNames>
    <sheetDataSet>
      <sheetData sheetId="0">
        <row r="2">
          <cell r="C2" t="str">
            <v>Planeación</v>
          </cell>
        </row>
        <row r="3">
          <cell r="C3" t="str">
            <v>Ejecución</v>
          </cell>
        </row>
        <row r="4">
          <cell r="C4" t="str">
            <v>Seguimiento</v>
          </cell>
        </row>
        <row r="5">
          <cell r="C5" t="str">
            <v>Gestionar el cobro</v>
          </cell>
        </row>
        <row r="6">
          <cell r="C6" t="str">
            <v>Causar la prima</v>
          </cell>
        </row>
        <row r="7">
          <cell r="C7" t="str">
            <v>Definir las políticas de inversión</v>
          </cell>
        </row>
        <row r="8">
          <cell r="C8" t="str">
            <v>Estructurar el portafolio</v>
          </cell>
        </row>
        <row r="9">
          <cell r="C9" t="str">
            <v>Gestionar el portafolio</v>
          </cell>
        </row>
        <row r="10">
          <cell r="C10" t="str">
            <v>Administrar el riesgo del portafolio</v>
          </cell>
        </row>
        <row r="11">
          <cell r="C11" t="str">
            <v>Evaluar y contratar al intermediario que va a realizar la operación de apoyo cuando lo amerite</v>
          </cell>
        </row>
        <row r="12">
          <cell r="C12" t="str">
            <v>Efectuar la operación de apoyo</v>
          </cell>
        </row>
        <row r="13">
          <cell r="C13" t="str">
            <v>Realizar seguimiento a los pagarés endosados y registrar novedades</v>
          </cell>
        </row>
        <row r="14">
          <cell r="C14" t="str">
            <v>Realizar seguimiento a la entidad</v>
          </cell>
        </row>
        <row r="15">
          <cell r="C15" t="str">
            <v>Liquidar el convenio</v>
          </cell>
        </row>
        <row r="16">
          <cell r="C16" t="str">
            <v>IMPLEMENTAR OPERACIONES DE APOYO DE LARGO PLAZO</v>
          </cell>
        </row>
        <row r="17">
          <cell r="C17" t="str">
            <v>Recibir y analizar información de las entidades</v>
          </cell>
        </row>
        <row r="18">
          <cell r="C18" t="str">
            <v>Recomendar la modalidad de inscripción</v>
          </cell>
        </row>
        <row r="19">
          <cell r="C19" t="str">
            <v>Decidir la inscripción y su modalidad</v>
          </cell>
        </row>
        <row r="20">
          <cell r="C20" t="str">
            <v>Ejecutar la decisión tomada por la Junta Directiva</v>
          </cell>
        </row>
        <row r="21">
          <cell r="C21" t="str">
            <v xml:space="preserve">Recaudar los derechos de inscripción </v>
          </cell>
        </row>
        <row r="22">
          <cell r="C22" t="str">
            <v>Formalizar la inscripción</v>
          </cell>
        </row>
        <row r="23">
          <cell r="C23" t="str">
            <v>Realizar seguimiento financiero</v>
          </cell>
        </row>
        <row r="24">
          <cell r="C24" t="str">
            <v>Realizar seguimiento a los convenios de desempeño</v>
          </cell>
        </row>
        <row r="25">
          <cell r="C25" t="str">
            <v>Capacitar las entidades</v>
          </cell>
        </row>
        <row r="26">
          <cell r="C26" t="str">
            <v>Participar en actividades de coordinación interinstitucional</v>
          </cell>
        </row>
        <row r="27">
          <cell r="C27" t="str">
            <v>Promover proyectos de regulación y politicas del sector cooperativo</v>
          </cell>
        </row>
        <row r="28">
          <cell r="C28" t="str">
            <v>Generar investigaciones e informes de coyuntura</v>
          </cell>
        </row>
        <row r="29">
          <cell r="C29" t="str">
            <v>Generar doctrina especializada</v>
          </cell>
        </row>
        <row r="30">
          <cell r="C30" t="str">
            <v>Evaluar operaciones de apoyo de corto plazo</v>
          </cell>
        </row>
        <row r="31">
          <cell r="C31" t="str">
            <v>Evaluar operaciones de apoyo de largo plazo</v>
          </cell>
        </row>
        <row r="32">
          <cell r="C32" t="str">
            <v>Identificar y recomendar alternativas de mecanismos de salvamento de las entidades inscritas a las entidades de control</v>
          </cell>
        </row>
        <row r="33">
          <cell r="C33" t="str">
            <v>Seleccionar y nombrar al agente especial o liquidador y del contralor interno</v>
          </cell>
        </row>
        <row r="34">
          <cell r="C34" t="str">
            <v>Seleccionar a los miembros de Junta Asesora representantes de los minoritarios</v>
          </cell>
        </row>
        <row r="35">
          <cell r="C35" t="str">
            <v>CONCEPTUAR SOBRE ESTUDIO DE VIABILIDAD</v>
          </cell>
        </row>
        <row r="36">
          <cell r="C36" t="str">
            <v>Definir la planeación y desarrollo del seguimiento a la liquidación</v>
          </cell>
        </row>
        <row r="37">
          <cell r="C37" t="str">
            <v>Presentar la propuesta al equipo directivo para obtener su aprobación</v>
          </cell>
        </row>
        <row r="38">
          <cell r="C38" t="str">
            <v>Definir la información requerida para realizar el seguimiento al liquidador</v>
          </cell>
        </row>
        <row r="39">
          <cell r="C39" t="str">
            <v>Recibir y verificar que la información recibida cumpla con todos los requerimientos</v>
          </cell>
        </row>
        <row r="40">
          <cell r="C40" t="str">
            <v>Analizar la información recibida para realizar el seguimiento</v>
          </cell>
        </row>
        <row r="41">
          <cell r="C41" t="str">
            <v>Identificar acciones correctivas para proponerlas al liquidador</v>
          </cell>
        </row>
        <row r="42">
          <cell r="C42" t="str">
            <v>Definir la planeación y desarrollo del seguimiento a la liquidación</v>
          </cell>
        </row>
        <row r="43">
          <cell r="C43" t="str">
            <v>Presentar la propuesta al equipo directivo para obtener su aprobación</v>
          </cell>
        </row>
        <row r="44">
          <cell r="C44" t="str">
            <v>Definir la información requerida para realizar el seguimiento al liquidador</v>
          </cell>
        </row>
        <row r="45">
          <cell r="C45" t="str">
            <v>Recibir y verificar que la información recibida cumpla con todos los requerimientos</v>
          </cell>
        </row>
        <row r="46">
          <cell r="C46" t="str">
            <v>Analizar la información recibida para realizar el seguimiento</v>
          </cell>
        </row>
        <row r="47">
          <cell r="C47" t="str">
            <v>Identificar acciones correctivas para proponerlas al liquidador</v>
          </cell>
        </row>
        <row r="48">
          <cell r="C48" t="str">
            <v>Recolectar la información</v>
          </cell>
        </row>
        <row r="49">
          <cell r="C49" t="str">
            <v>Calcular el valor del seguro de depósito o valor equivalente</v>
          </cell>
        </row>
        <row r="50">
          <cell r="C50" t="str">
            <v>Seleccionar el administrador del proceso de pago</v>
          </cell>
        </row>
        <row r="51">
          <cell r="C51" t="str">
            <v>Seleccionar o aprobar las entidades ejecutoras del proceso de pago - entidades de divulgación, notificadoras, entidad pagadora, correo, operador logístico</v>
          </cell>
        </row>
        <row r="52">
          <cell r="C52" t="str">
            <v>Ejecutar el proceso de pago</v>
          </cell>
        </row>
        <row r="53">
          <cell r="C53" t="str">
            <v>Realizar el seguimiento al proceso</v>
          </cell>
        </row>
        <row r="54">
          <cell r="C54" t="str">
            <v>Formalizar la subrogación por los valores pagados</v>
          </cell>
        </row>
        <row r="55">
          <cell r="C55" t="str">
            <v>Aplicar los procedimientos señalados en el manual de gestión de los activos recibidos</v>
          </cell>
        </row>
        <row r="56">
          <cell r="C56" t="str">
            <v>Evaluar y contratar a los administradores de los activos</v>
          </cell>
        </row>
        <row r="57">
          <cell r="C57" t="str">
            <v>Recibir de la entidad y entregar a los administradores los activos recibidos</v>
          </cell>
        </row>
        <row r="58">
          <cell r="C58" t="str">
            <v>Realizar seguimiento a los administradores de los activos sobre el estado de éstos</v>
          </cell>
        </row>
        <row r="59">
          <cell r="C59" t="str">
            <v>Enajenar activos recibidos cuando lo amerite</v>
          </cell>
        </row>
        <row r="60">
          <cell r="C60" t="str">
            <v>Gestión de Procesos</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PwC Print">
  <a:themeElements>
    <a:clrScheme name="PwC Print Ocean Palette">
      <a:dk1>
        <a:srgbClr val="000000"/>
      </a:dk1>
      <a:lt1>
        <a:srgbClr val="FFFFFF"/>
      </a:lt1>
      <a:dk2>
        <a:srgbClr val="00457C"/>
      </a:dk2>
      <a:lt2>
        <a:srgbClr val="FFFFFF"/>
      </a:lt2>
      <a:accent1>
        <a:srgbClr val="00A5D9"/>
      </a:accent1>
      <a:accent2>
        <a:srgbClr val="3DA8D5"/>
      </a:accent2>
      <a:accent3>
        <a:srgbClr val="8BCBE6"/>
      </a:accent3>
      <a:accent4>
        <a:srgbClr val="B1DCEE"/>
      </a:accent4>
      <a:accent5>
        <a:srgbClr val="D8EEF7"/>
      </a:accent5>
      <a:accent6>
        <a:srgbClr val="00457C"/>
      </a:accent6>
      <a:hlink>
        <a:srgbClr val="2666A6"/>
      </a:hlink>
      <a:folHlink>
        <a:srgbClr val="334063"/>
      </a:folHlink>
    </a:clrScheme>
    <a:fontScheme name="PwC">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horz" wrap="square" lIns="63500" tIns="0" rIns="64800" bIns="0" numCol="1" anchor="t" anchorCtr="0" compatLnSpc="1">
        <a:prstTxWarp prst="textNoShape">
          <a:avLst/>
        </a:prstTxWarp>
      </a:bodyPr>
      <a:lstStyle>
        <a:defPPr marL="0" marR="0" indent="0" algn="l" defTabSz="914400" rtl="0" eaLnBrk="1" fontAlgn="base" latinLnBrk="0" hangingPunct="1">
          <a:lnSpc>
            <a:spcPct val="100000"/>
          </a:lnSpc>
          <a:spcBef>
            <a:spcPct val="20000"/>
          </a:spcBef>
          <a:spcAft>
            <a:spcPct val="20000"/>
          </a:spcAft>
          <a:buClrTx/>
          <a:buSzPct val="90000"/>
          <a:buFontTx/>
          <a:buNone/>
          <a:tabLst/>
          <a:defRPr kumimoji="0" lang="en-GB" sz="2000" b="0" i="0" u="none" strike="noStrike" cap="none" normalizeH="0" baseline="0" smtClean="0">
            <a:ln>
              <a:noFill/>
            </a:ln>
            <a:solidFill>
              <a:schemeClr val="bg2"/>
            </a:solidFill>
            <a:effectLst/>
            <a:latin typeface="Arial" charset="0"/>
            <a:cs typeface="Arial" charset="0"/>
          </a:defRPr>
        </a:defPPr>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horz" wrap="square" lIns="63500" tIns="0" rIns="64800" bIns="0" numCol="1" anchor="t" anchorCtr="0" compatLnSpc="1">
        <a:prstTxWarp prst="textNoShape">
          <a:avLst/>
        </a:prstTxWarp>
      </a:bodyPr>
      <a:lstStyle>
        <a:defPPr marL="0" marR="0" indent="0" algn="l" defTabSz="914400" rtl="0" eaLnBrk="1" fontAlgn="base" latinLnBrk="0" hangingPunct="1">
          <a:lnSpc>
            <a:spcPct val="100000"/>
          </a:lnSpc>
          <a:spcBef>
            <a:spcPct val="20000"/>
          </a:spcBef>
          <a:spcAft>
            <a:spcPct val="20000"/>
          </a:spcAft>
          <a:buClrTx/>
          <a:buSzPct val="90000"/>
          <a:buFontTx/>
          <a:buNone/>
          <a:tabLst/>
          <a:defRPr kumimoji="0" lang="en-GB" sz="2000" b="0" i="0" u="none" strike="noStrike" cap="none" normalizeH="0" baseline="0" smtClean="0">
            <a:ln>
              <a:noFill/>
            </a:ln>
            <a:solidFill>
              <a:schemeClr val="bg2"/>
            </a:solidFill>
            <a:effectLst/>
            <a:latin typeface="Arial" charset="0"/>
            <a:cs typeface="Arial" charset="0"/>
          </a:defRPr>
        </a:defPPr>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
  <dimension ref="A1:H60"/>
  <sheetViews>
    <sheetView zoomScaleNormal="100" workbookViewId="0">
      <pane ySplit="1" topLeftCell="A44" activePane="bottomLeft" state="frozen"/>
      <selection activeCell="B1" sqref="B1"/>
      <selection pane="bottomLeft" activeCell="C49" sqref="C49"/>
    </sheetView>
  </sheetViews>
  <sheetFormatPr defaultColWidth="29.7109375" defaultRowHeight="12.75"/>
  <cols>
    <col min="2" max="2" width="56" customWidth="1"/>
    <col min="3" max="3" width="68.5703125" customWidth="1"/>
    <col min="4" max="4" width="33.140625" customWidth="1"/>
    <col min="5" max="5" width="33.42578125" customWidth="1"/>
    <col min="7" max="7" width="0" hidden="1" customWidth="1"/>
  </cols>
  <sheetData>
    <row r="1" spans="1:8" ht="13.5" thickBot="1">
      <c r="A1" t="s">
        <v>8</v>
      </c>
      <c r="B1" t="s">
        <v>9</v>
      </c>
      <c r="C1" t="s">
        <v>0</v>
      </c>
      <c r="D1" t="s">
        <v>1</v>
      </c>
      <c r="E1" t="s">
        <v>2</v>
      </c>
      <c r="F1" t="s">
        <v>3</v>
      </c>
      <c r="G1" t="s">
        <v>74</v>
      </c>
    </row>
    <row r="2" spans="1:8" ht="25.5">
      <c r="A2" s="251" t="s">
        <v>4</v>
      </c>
      <c r="B2" s="254" t="s">
        <v>4</v>
      </c>
      <c r="C2" s="3" t="s">
        <v>5</v>
      </c>
      <c r="D2" s="3" t="s">
        <v>75</v>
      </c>
      <c r="E2" s="10" t="s">
        <v>89</v>
      </c>
      <c r="F2" s="7" t="s">
        <v>90</v>
      </c>
      <c r="H2" s="26" t="s">
        <v>94</v>
      </c>
    </row>
    <row r="3" spans="1:8">
      <c r="A3" s="252"/>
      <c r="B3" s="255"/>
      <c r="C3" s="1" t="s">
        <v>6</v>
      </c>
      <c r="D3" s="1" t="s">
        <v>76</v>
      </c>
      <c r="E3" s="11">
        <v>41009</v>
      </c>
      <c r="F3" s="12" t="s">
        <v>88</v>
      </c>
    </row>
    <row r="4" spans="1:8" ht="39" thickBot="1">
      <c r="A4" s="253"/>
      <c r="B4" s="256"/>
      <c r="C4" s="4" t="s">
        <v>7</v>
      </c>
      <c r="D4" s="4" t="s">
        <v>77</v>
      </c>
      <c r="E4" s="14" t="s">
        <v>91</v>
      </c>
      <c r="F4" s="15" t="s">
        <v>90</v>
      </c>
      <c r="H4" s="26" t="s">
        <v>95</v>
      </c>
    </row>
    <row r="5" spans="1:8">
      <c r="A5" s="257" t="s">
        <v>10</v>
      </c>
      <c r="B5" s="254" t="s">
        <v>11</v>
      </c>
      <c r="C5" s="3" t="s">
        <v>12</v>
      </c>
      <c r="D5" s="3" t="s">
        <v>79</v>
      </c>
      <c r="E5" s="13">
        <v>41017</v>
      </c>
      <c r="F5" s="7"/>
    </row>
    <row r="6" spans="1:8">
      <c r="A6" s="258"/>
      <c r="B6" s="255"/>
      <c r="C6" s="1" t="s">
        <v>13</v>
      </c>
      <c r="D6" s="1" t="s">
        <v>78</v>
      </c>
      <c r="E6" s="11">
        <v>41017</v>
      </c>
      <c r="F6" s="8"/>
    </row>
    <row r="7" spans="1:8">
      <c r="A7" s="258"/>
      <c r="B7" s="260" t="s">
        <v>14</v>
      </c>
      <c r="C7" s="1" t="s">
        <v>15</v>
      </c>
      <c r="D7" s="1" t="s">
        <v>80</v>
      </c>
      <c r="E7" s="16" t="s">
        <v>91</v>
      </c>
      <c r="F7" s="17" t="s">
        <v>90</v>
      </c>
      <c r="H7" s="27">
        <v>41011.375</v>
      </c>
    </row>
    <row r="8" spans="1:8">
      <c r="A8" s="258"/>
      <c r="B8" s="261"/>
      <c r="C8" s="1" t="s">
        <v>16</v>
      </c>
      <c r="D8" s="1" t="s">
        <v>80</v>
      </c>
      <c r="E8" s="14" t="s">
        <v>91</v>
      </c>
      <c r="F8" s="15" t="s">
        <v>90</v>
      </c>
      <c r="H8" s="27">
        <v>41011.375</v>
      </c>
    </row>
    <row r="9" spans="1:8">
      <c r="A9" s="258"/>
      <c r="B9" s="261"/>
      <c r="C9" s="1" t="s">
        <v>17</v>
      </c>
      <c r="D9" s="1" t="s">
        <v>80</v>
      </c>
      <c r="E9" s="14" t="s">
        <v>91</v>
      </c>
      <c r="F9" s="15" t="s">
        <v>90</v>
      </c>
      <c r="H9" s="27">
        <v>41011.375</v>
      </c>
    </row>
    <row r="10" spans="1:8" ht="25.5">
      <c r="A10" s="258"/>
      <c r="B10" s="262"/>
      <c r="C10" s="1" t="s">
        <v>18</v>
      </c>
      <c r="D10" s="1" t="s">
        <v>81</v>
      </c>
      <c r="E10" s="14" t="s">
        <v>91</v>
      </c>
      <c r="F10" s="15" t="s">
        <v>90</v>
      </c>
      <c r="H10" s="27">
        <v>41011.375</v>
      </c>
    </row>
    <row r="11" spans="1:8" ht="25.5">
      <c r="A11" s="258"/>
      <c r="B11" s="263" t="s">
        <v>19</v>
      </c>
      <c r="C11" s="1" t="s">
        <v>20</v>
      </c>
      <c r="D11" s="1" t="s">
        <v>82</v>
      </c>
      <c r="E11" s="11">
        <v>41008</v>
      </c>
      <c r="F11" s="8" t="s">
        <v>90</v>
      </c>
    </row>
    <row r="12" spans="1:8" ht="25.5">
      <c r="A12" s="258"/>
      <c r="B12" s="264"/>
      <c r="C12" s="1" t="s">
        <v>21</v>
      </c>
      <c r="D12" s="1" t="s">
        <v>82</v>
      </c>
      <c r="E12" s="11">
        <v>41008</v>
      </c>
      <c r="F12" s="8" t="s">
        <v>90</v>
      </c>
    </row>
    <row r="13" spans="1:8" ht="25.5">
      <c r="A13" s="258"/>
      <c r="B13" s="264"/>
      <c r="C13" s="1" t="s">
        <v>22</v>
      </c>
      <c r="D13" s="1" t="s">
        <v>82</v>
      </c>
      <c r="E13" s="11">
        <v>41008</v>
      </c>
      <c r="F13" s="8" t="s">
        <v>90</v>
      </c>
    </row>
    <row r="14" spans="1:8" ht="25.5">
      <c r="A14" s="258"/>
      <c r="B14" s="264"/>
      <c r="C14" s="1" t="s">
        <v>23</v>
      </c>
      <c r="D14" s="1" t="s">
        <v>82</v>
      </c>
      <c r="E14" s="11">
        <v>41008</v>
      </c>
      <c r="F14" s="8" t="s">
        <v>90</v>
      </c>
    </row>
    <row r="15" spans="1:8" ht="25.5">
      <c r="A15" s="258"/>
      <c r="B15" s="265"/>
      <c r="C15" s="1" t="s">
        <v>24</v>
      </c>
      <c r="D15" s="1" t="s">
        <v>82</v>
      </c>
      <c r="E15" s="11">
        <v>41008</v>
      </c>
      <c r="F15" s="8" t="s">
        <v>90</v>
      </c>
    </row>
    <row r="16" spans="1:8" ht="26.25" thickBot="1">
      <c r="A16" s="259"/>
      <c r="B16" s="5" t="s">
        <v>25</v>
      </c>
      <c r="C16" s="4" t="s">
        <v>25</v>
      </c>
      <c r="D16" s="4" t="s">
        <v>82</v>
      </c>
      <c r="E16" s="11">
        <v>41008</v>
      </c>
      <c r="F16" s="8" t="s">
        <v>90</v>
      </c>
    </row>
    <row r="17" spans="1:6">
      <c r="A17" s="248" t="s">
        <v>26</v>
      </c>
      <c r="B17" s="242" t="s">
        <v>27</v>
      </c>
      <c r="C17" s="3" t="s">
        <v>28</v>
      </c>
      <c r="D17" s="19" t="s">
        <v>83</v>
      </c>
      <c r="E17" s="3"/>
      <c r="F17" s="7"/>
    </row>
    <row r="18" spans="1:6">
      <c r="A18" s="249"/>
      <c r="B18" s="243"/>
      <c r="C18" s="1" t="s">
        <v>29</v>
      </c>
      <c r="D18" s="20" t="s">
        <v>83</v>
      </c>
      <c r="E18" s="1"/>
      <c r="F18" s="8"/>
    </row>
    <row r="19" spans="1:6">
      <c r="A19" s="249"/>
      <c r="B19" s="243"/>
      <c r="C19" s="1" t="s">
        <v>30</v>
      </c>
      <c r="D19" s="20" t="s">
        <v>83</v>
      </c>
      <c r="E19" s="1"/>
      <c r="F19" s="8"/>
    </row>
    <row r="20" spans="1:6">
      <c r="A20" s="249"/>
      <c r="B20" s="243"/>
      <c r="C20" s="1" t="s">
        <v>31</v>
      </c>
      <c r="D20" s="20" t="s">
        <v>83</v>
      </c>
      <c r="E20" s="1"/>
      <c r="F20" s="8"/>
    </row>
    <row r="21" spans="1:6">
      <c r="A21" s="249"/>
      <c r="B21" s="243"/>
      <c r="C21" s="1" t="s">
        <v>32</v>
      </c>
      <c r="D21" s="20" t="s">
        <v>83</v>
      </c>
      <c r="E21" s="1"/>
      <c r="F21" s="8"/>
    </row>
    <row r="22" spans="1:6">
      <c r="A22" s="249"/>
      <c r="B22" s="243"/>
      <c r="C22" s="1" t="s">
        <v>33</v>
      </c>
      <c r="D22" s="20" t="s">
        <v>83</v>
      </c>
      <c r="E22" s="1"/>
      <c r="F22" s="8"/>
    </row>
    <row r="23" spans="1:6">
      <c r="A23" s="249"/>
      <c r="B23" s="244" t="s">
        <v>34</v>
      </c>
      <c r="C23" s="1" t="s">
        <v>35</v>
      </c>
      <c r="D23" s="20" t="s">
        <v>83</v>
      </c>
      <c r="E23" s="1"/>
      <c r="F23" s="8"/>
    </row>
    <row r="24" spans="1:6">
      <c r="A24" s="249"/>
      <c r="B24" s="245"/>
      <c r="C24" s="1" t="s">
        <v>36</v>
      </c>
      <c r="D24" s="20" t="s">
        <v>83</v>
      </c>
      <c r="E24" s="1"/>
      <c r="F24" s="8"/>
    </row>
    <row r="25" spans="1:6">
      <c r="A25" s="249"/>
      <c r="B25" s="245"/>
      <c r="C25" s="1" t="s">
        <v>37</v>
      </c>
      <c r="D25" s="20" t="s">
        <v>83</v>
      </c>
      <c r="E25" s="1"/>
      <c r="F25" s="8"/>
    </row>
    <row r="26" spans="1:6">
      <c r="A26" s="249"/>
      <c r="B26" s="245"/>
      <c r="C26" s="1" t="s">
        <v>38</v>
      </c>
      <c r="D26" s="20" t="s">
        <v>83</v>
      </c>
      <c r="E26" s="1"/>
      <c r="F26" s="8"/>
    </row>
    <row r="27" spans="1:6">
      <c r="A27" s="249"/>
      <c r="B27" s="245"/>
      <c r="C27" s="1" t="s">
        <v>39</v>
      </c>
      <c r="D27" s="20" t="s">
        <v>83</v>
      </c>
      <c r="E27" s="1"/>
      <c r="F27" s="8"/>
    </row>
    <row r="28" spans="1:6">
      <c r="A28" s="249"/>
      <c r="B28" s="245"/>
      <c r="C28" s="1" t="s">
        <v>40</v>
      </c>
      <c r="D28" s="20" t="s">
        <v>83</v>
      </c>
      <c r="E28" s="1"/>
      <c r="F28" s="8"/>
    </row>
    <row r="29" spans="1:6">
      <c r="A29" s="249"/>
      <c r="B29" s="245"/>
      <c r="C29" s="1" t="s">
        <v>41</v>
      </c>
      <c r="D29" s="20" t="s">
        <v>83</v>
      </c>
      <c r="E29" s="1"/>
      <c r="F29" s="8"/>
    </row>
    <row r="30" spans="1:6">
      <c r="A30" s="249"/>
      <c r="B30" s="246" t="s">
        <v>42</v>
      </c>
      <c r="C30" s="1" t="s">
        <v>43</v>
      </c>
      <c r="D30" s="20" t="s">
        <v>83</v>
      </c>
      <c r="E30" s="1"/>
      <c r="F30" s="8"/>
    </row>
    <row r="31" spans="1:6">
      <c r="A31" s="249"/>
      <c r="B31" s="247"/>
      <c r="C31" s="1" t="s">
        <v>44</v>
      </c>
      <c r="D31" s="21" t="s">
        <v>83</v>
      </c>
      <c r="E31" s="1"/>
      <c r="F31" s="8"/>
    </row>
    <row r="32" spans="1:6" ht="26.25" thickBot="1">
      <c r="A32" s="250"/>
      <c r="B32" s="6" t="s">
        <v>45</v>
      </c>
      <c r="C32" s="4" t="s">
        <v>46</v>
      </c>
      <c r="D32" s="18" t="s">
        <v>83</v>
      </c>
      <c r="E32" s="4"/>
      <c r="F32" s="9"/>
    </row>
    <row r="33" spans="1:6">
      <c r="A33" s="226" t="s">
        <v>47</v>
      </c>
      <c r="B33" s="232" t="s">
        <v>48</v>
      </c>
      <c r="C33" s="3" t="s">
        <v>49</v>
      </c>
      <c r="D33" s="3" t="s">
        <v>84</v>
      </c>
      <c r="E33" s="3"/>
      <c r="F33" s="7"/>
    </row>
    <row r="34" spans="1:6" ht="25.5">
      <c r="A34" s="227"/>
      <c r="B34" s="233"/>
      <c r="C34" s="1" t="s">
        <v>50</v>
      </c>
      <c r="D34" s="1" t="s">
        <v>83</v>
      </c>
      <c r="E34" s="1"/>
      <c r="F34" s="8"/>
    </row>
    <row r="35" spans="1:6">
      <c r="A35" s="227"/>
      <c r="B35" s="2" t="s">
        <v>51</v>
      </c>
      <c r="C35" s="1" t="s">
        <v>51</v>
      </c>
      <c r="D35" s="1" t="s">
        <v>83</v>
      </c>
      <c r="E35" s="1"/>
      <c r="F35" s="8"/>
    </row>
    <row r="36" spans="1:6">
      <c r="A36" s="227"/>
      <c r="B36" s="229" t="s">
        <v>52</v>
      </c>
      <c r="C36" s="1" t="s">
        <v>53</v>
      </c>
      <c r="D36" s="1" t="s">
        <v>83</v>
      </c>
      <c r="E36" s="1"/>
      <c r="F36" s="8"/>
    </row>
    <row r="37" spans="1:6">
      <c r="A37" s="227"/>
      <c r="B37" s="230"/>
      <c r="C37" s="1" t="s">
        <v>54</v>
      </c>
      <c r="D37" s="1" t="s">
        <v>83</v>
      </c>
      <c r="E37" s="1"/>
      <c r="F37" s="8"/>
    </row>
    <row r="38" spans="1:6">
      <c r="A38" s="227"/>
      <c r="B38" s="230"/>
      <c r="C38" s="1" t="s">
        <v>55</v>
      </c>
      <c r="D38" s="1" t="s">
        <v>83</v>
      </c>
      <c r="E38" s="1"/>
      <c r="F38" s="8"/>
    </row>
    <row r="39" spans="1:6" ht="25.5">
      <c r="A39" s="227"/>
      <c r="B39" s="230"/>
      <c r="C39" s="1" t="s">
        <v>56</v>
      </c>
      <c r="D39" s="1" t="s">
        <v>83</v>
      </c>
      <c r="E39" s="1"/>
      <c r="F39" s="8"/>
    </row>
    <row r="40" spans="1:6">
      <c r="A40" s="227"/>
      <c r="B40" s="230"/>
      <c r="C40" s="1" t="s">
        <v>57</v>
      </c>
      <c r="D40" s="1" t="s">
        <v>83</v>
      </c>
      <c r="E40" s="1"/>
      <c r="F40" s="8"/>
    </row>
    <row r="41" spans="1:6">
      <c r="A41" s="227"/>
      <c r="B41" s="231"/>
      <c r="C41" s="1" t="s">
        <v>58</v>
      </c>
      <c r="D41" s="1" t="s">
        <v>83</v>
      </c>
      <c r="E41" s="1"/>
      <c r="F41" s="8"/>
    </row>
    <row r="42" spans="1:6" ht="38.25">
      <c r="A42" s="227"/>
      <c r="B42" s="234" t="s">
        <v>59</v>
      </c>
      <c r="C42" s="1" t="s">
        <v>53</v>
      </c>
      <c r="D42" s="1" t="s">
        <v>85</v>
      </c>
      <c r="E42" s="1"/>
      <c r="F42" s="8"/>
    </row>
    <row r="43" spans="1:6" ht="38.25">
      <c r="A43" s="227"/>
      <c r="B43" s="235"/>
      <c r="C43" s="1" t="s">
        <v>54</v>
      </c>
      <c r="D43" s="1" t="s">
        <v>85</v>
      </c>
      <c r="E43" s="1"/>
      <c r="F43" s="8"/>
    </row>
    <row r="44" spans="1:6" ht="38.25">
      <c r="A44" s="227"/>
      <c r="B44" s="235"/>
      <c r="C44" s="1" t="s">
        <v>55</v>
      </c>
      <c r="D44" s="1" t="s">
        <v>85</v>
      </c>
      <c r="E44" s="1"/>
      <c r="F44" s="8"/>
    </row>
    <row r="45" spans="1:6" ht="38.25">
      <c r="A45" s="227"/>
      <c r="B45" s="235"/>
      <c r="C45" s="1" t="s">
        <v>56</v>
      </c>
      <c r="D45" s="1" t="s">
        <v>85</v>
      </c>
      <c r="E45" s="1"/>
      <c r="F45" s="8"/>
    </row>
    <row r="46" spans="1:6" ht="38.25">
      <c r="A46" s="227"/>
      <c r="B46" s="235"/>
      <c r="C46" s="1" t="s">
        <v>57</v>
      </c>
      <c r="D46" s="1" t="s">
        <v>85</v>
      </c>
      <c r="E46" s="1"/>
      <c r="F46" s="8"/>
    </row>
    <row r="47" spans="1:6" ht="38.25">
      <c r="A47" s="227"/>
      <c r="B47" s="235"/>
      <c r="C47" s="1" t="s">
        <v>58</v>
      </c>
      <c r="D47" s="1" t="s">
        <v>85</v>
      </c>
      <c r="E47" s="1"/>
      <c r="F47" s="8"/>
    </row>
    <row r="48" spans="1:6" ht="25.5">
      <c r="A48" s="227"/>
      <c r="B48" s="239" t="s">
        <v>60</v>
      </c>
      <c r="C48" s="1" t="s">
        <v>61</v>
      </c>
      <c r="D48" s="1" t="s">
        <v>86</v>
      </c>
      <c r="E48" s="1"/>
      <c r="F48" s="8"/>
    </row>
    <row r="49" spans="1:6" ht="25.5">
      <c r="A49" s="227"/>
      <c r="B49" s="240"/>
      <c r="C49" s="1" t="s">
        <v>62</v>
      </c>
      <c r="D49" s="1" t="s">
        <v>86</v>
      </c>
      <c r="E49" s="1"/>
      <c r="F49" s="8"/>
    </row>
    <row r="50" spans="1:6" ht="25.5">
      <c r="A50" s="227"/>
      <c r="B50" s="240"/>
      <c r="C50" s="1" t="s">
        <v>63</v>
      </c>
      <c r="D50" s="1" t="s">
        <v>86</v>
      </c>
      <c r="E50" s="1"/>
      <c r="F50" s="8"/>
    </row>
    <row r="51" spans="1:6" ht="38.25">
      <c r="A51" s="227"/>
      <c r="B51" s="240"/>
      <c r="C51" s="1" t="s">
        <v>64</v>
      </c>
      <c r="D51" s="1" t="s">
        <v>86</v>
      </c>
      <c r="E51" s="1"/>
      <c r="F51" s="8"/>
    </row>
    <row r="52" spans="1:6" ht="25.5">
      <c r="A52" s="227"/>
      <c r="B52" s="240"/>
      <c r="C52" s="1" t="s">
        <v>65</v>
      </c>
      <c r="D52" s="1" t="s">
        <v>86</v>
      </c>
      <c r="E52" s="1"/>
      <c r="F52" s="8"/>
    </row>
    <row r="53" spans="1:6" ht="25.5">
      <c r="A53" s="227"/>
      <c r="B53" s="240"/>
      <c r="C53" s="1" t="s">
        <v>66</v>
      </c>
      <c r="D53" s="1" t="s">
        <v>86</v>
      </c>
      <c r="E53" s="1"/>
      <c r="F53" s="8"/>
    </row>
    <row r="54" spans="1:6" ht="25.5">
      <c r="A54" s="227"/>
      <c r="B54" s="241"/>
      <c r="C54" s="1" t="s">
        <v>67</v>
      </c>
      <c r="D54" s="1" t="s">
        <v>86</v>
      </c>
      <c r="E54" s="1"/>
      <c r="F54" s="8"/>
    </row>
    <row r="55" spans="1:6" ht="25.5">
      <c r="A55" s="227"/>
      <c r="B55" s="236" t="s">
        <v>68</v>
      </c>
      <c r="C55" s="1" t="s">
        <v>69</v>
      </c>
      <c r="D55" s="1" t="s">
        <v>87</v>
      </c>
      <c r="E55" s="1"/>
      <c r="F55" s="8"/>
    </row>
    <row r="56" spans="1:6" ht="25.5">
      <c r="A56" s="227"/>
      <c r="B56" s="237"/>
      <c r="C56" s="1" t="s">
        <v>70</v>
      </c>
      <c r="D56" s="1" t="s">
        <v>87</v>
      </c>
      <c r="E56" s="1"/>
      <c r="F56" s="8"/>
    </row>
    <row r="57" spans="1:6" ht="25.5">
      <c r="A57" s="227"/>
      <c r="B57" s="237"/>
      <c r="C57" s="1" t="s">
        <v>71</v>
      </c>
      <c r="D57" s="1" t="s">
        <v>87</v>
      </c>
      <c r="E57" s="1"/>
      <c r="F57" s="8"/>
    </row>
    <row r="58" spans="1:6" ht="25.5">
      <c r="A58" s="227"/>
      <c r="B58" s="237"/>
      <c r="C58" s="1" t="s">
        <v>72</v>
      </c>
      <c r="D58" s="1" t="s">
        <v>87</v>
      </c>
      <c r="E58" s="1"/>
      <c r="F58" s="8"/>
    </row>
    <row r="59" spans="1:6" ht="26.25" thickBot="1">
      <c r="A59" s="228"/>
      <c r="B59" s="238"/>
      <c r="C59" s="4" t="s">
        <v>73</v>
      </c>
      <c r="D59" s="4" t="s">
        <v>87</v>
      </c>
      <c r="E59" s="4"/>
      <c r="F59" s="9"/>
    </row>
    <row r="60" spans="1:6" ht="13.5" thickBot="1">
      <c r="A60" s="22"/>
      <c r="B60" s="23"/>
      <c r="C60" s="24" t="s">
        <v>92</v>
      </c>
      <c r="D60" s="24" t="s">
        <v>93</v>
      </c>
      <c r="E60" s="23"/>
      <c r="F60" s="25"/>
    </row>
  </sheetData>
  <mergeCells count="16">
    <mergeCell ref="B17:B22"/>
    <mergeCell ref="B23:B29"/>
    <mergeCell ref="B30:B31"/>
    <mergeCell ref="A17:A32"/>
    <mergeCell ref="A2:A4"/>
    <mergeCell ref="B2:B4"/>
    <mergeCell ref="B5:B6"/>
    <mergeCell ref="A5:A16"/>
    <mergeCell ref="B7:B10"/>
    <mergeCell ref="B11:B15"/>
    <mergeCell ref="A33:A59"/>
    <mergeCell ref="B36:B41"/>
    <mergeCell ref="B33:B34"/>
    <mergeCell ref="B42:B47"/>
    <mergeCell ref="B55:B59"/>
    <mergeCell ref="B48:B54"/>
  </mergeCells>
  <pageMargins left="0.7" right="0.7" top="0.75" bottom="0.75" header="0.3" footer="0.3"/>
  <pageSetup paperSize="9" orientation="portrait" verticalDpi="0" r:id="rId1"/>
  <customProperties>
    <customPr name="DVSECTIONID" r:id="rId2"/>
  </customProperties>
</worksheet>
</file>

<file path=xl/worksheets/sheet10.xml><?xml version="1.0" encoding="utf-8"?>
<worksheet xmlns="http://schemas.openxmlformats.org/spreadsheetml/2006/main" xmlns:r="http://schemas.openxmlformats.org/officeDocument/2006/relationships">
  <sheetPr>
    <tabColor rgb="FF00B050"/>
  </sheetPr>
  <dimension ref="B1:M112"/>
  <sheetViews>
    <sheetView topLeftCell="A88" zoomScale="80" zoomScaleNormal="80" workbookViewId="0">
      <selection activeCell="C99" sqref="C99"/>
    </sheetView>
  </sheetViews>
  <sheetFormatPr defaultColWidth="9.140625" defaultRowHeight="12.75"/>
  <cols>
    <col min="1" max="1" width="2.140625" customWidth="1"/>
    <col min="2" max="2" width="9.140625" style="32"/>
    <col min="3" max="3" width="49.5703125" style="36" customWidth="1"/>
    <col min="4" max="4" width="30.28515625" bestFit="1" customWidth="1"/>
    <col min="5" max="5" width="15.140625" customWidth="1"/>
    <col min="6" max="6" width="13" customWidth="1"/>
    <col min="7" max="7" width="14.140625" customWidth="1"/>
    <col min="8" max="8" width="12.42578125" customWidth="1"/>
    <col min="9" max="9" width="16.85546875" customWidth="1"/>
    <col min="10" max="10" width="13.7109375" style="33" customWidth="1"/>
  </cols>
  <sheetData>
    <row r="1" spans="2:10" ht="13.5" thickBot="1">
      <c r="B1"/>
      <c r="C1" s="32"/>
      <c r="D1" s="35"/>
      <c r="J1"/>
    </row>
    <row r="2" spans="2:10" ht="15" thickBot="1">
      <c r="B2" s="281" t="s">
        <v>718</v>
      </c>
      <c r="C2" s="282"/>
      <c r="D2" s="282"/>
      <c r="E2" s="283"/>
      <c r="J2"/>
    </row>
    <row r="3" spans="2:10" ht="25.5">
      <c r="B3" s="277" t="s">
        <v>688</v>
      </c>
      <c r="C3" s="278"/>
      <c r="D3" s="66" t="s">
        <v>690</v>
      </c>
      <c r="E3" s="67" t="s">
        <v>691</v>
      </c>
      <c r="J3"/>
    </row>
    <row r="4" spans="2:10" ht="13.5" thickBot="1">
      <c r="B4" s="279" t="s">
        <v>701</v>
      </c>
      <c r="C4" s="280"/>
      <c r="D4" s="80" t="s">
        <v>700</v>
      </c>
      <c r="E4" s="81" t="s">
        <v>692</v>
      </c>
      <c r="J4"/>
    </row>
    <row r="5" spans="2:10" ht="13.5" thickBot="1">
      <c r="C5" s="35"/>
      <c r="J5"/>
    </row>
    <row r="6" spans="2:10" ht="83.25" customHeight="1">
      <c r="B6" s="284" t="s">
        <v>689</v>
      </c>
      <c r="C6" s="285"/>
      <c r="D6" s="153" t="s">
        <v>861</v>
      </c>
      <c r="E6" s="67" t="s">
        <v>862</v>
      </c>
      <c r="F6" s="153" t="s">
        <v>860</v>
      </c>
      <c r="G6" s="67" t="s">
        <v>862</v>
      </c>
      <c r="H6" s="67" t="s">
        <v>694</v>
      </c>
      <c r="J6"/>
    </row>
    <row r="7" spans="2:10" ht="12.75" customHeight="1">
      <c r="B7" s="288" t="s">
        <v>693</v>
      </c>
      <c r="C7" s="289"/>
      <c r="D7" s="154" t="s">
        <v>695</v>
      </c>
      <c r="E7" s="155"/>
      <c r="F7" s="154" t="s">
        <v>695</v>
      </c>
      <c r="G7" s="155"/>
      <c r="H7" s="160" t="s">
        <v>692</v>
      </c>
      <c r="J7"/>
    </row>
    <row r="8" spans="2:10" ht="12.75" customHeight="1">
      <c r="B8" s="288" t="s">
        <v>696</v>
      </c>
      <c r="C8" s="289"/>
      <c r="D8" s="154" t="s">
        <v>695</v>
      </c>
      <c r="E8" s="155"/>
      <c r="F8" s="154" t="s">
        <v>695</v>
      </c>
      <c r="G8" s="155"/>
      <c r="H8" s="160" t="s">
        <v>692</v>
      </c>
      <c r="J8"/>
    </row>
    <row r="9" spans="2:10" ht="12.75" customHeight="1">
      <c r="B9" s="288" t="s">
        <v>697</v>
      </c>
      <c r="C9" s="289"/>
      <c r="D9" s="154" t="s">
        <v>695</v>
      </c>
      <c r="E9" s="155"/>
      <c r="F9" s="154" t="s">
        <v>695</v>
      </c>
      <c r="G9" s="155"/>
      <c r="H9" s="160" t="s">
        <v>692</v>
      </c>
      <c r="J9"/>
    </row>
    <row r="10" spans="2:10" ht="12.75" customHeight="1">
      <c r="B10" s="288" t="s">
        <v>698</v>
      </c>
      <c r="C10" s="289"/>
      <c r="D10" s="154" t="s">
        <v>695</v>
      </c>
      <c r="E10" s="155"/>
      <c r="F10" s="154" t="s">
        <v>695</v>
      </c>
      <c r="G10" s="155"/>
      <c r="H10" s="160" t="s">
        <v>692</v>
      </c>
      <c r="J10"/>
    </row>
    <row r="11" spans="2:10" ht="13.5" customHeight="1" thickBot="1">
      <c r="B11" s="290" t="s">
        <v>699</v>
      </c>
      <c r="C11" s="291"/>
      <c r="D11" s="156" t="s">
        <v>695</v>
      </c>
      <c r="E11" s="157"/>
      <c r="F11" s="156" t="s">
        <v>695</v>
      </c>
      <c r="G11" s="157"/>
      <c r="H11" s="161" t="s">
        <v>692</v>
      </c>
      <c r="J11"/>
    </row>
    <row r="12" spans="2:10" ht="13.5" thickBot="1">
      <c r="B12"/>
      <c r="C12" s="32"/>
      <c r="D12" s="35"/>
      <c r="J12"/>
    </row>
    <row r="13" spans="2:10" ht="14.25">
      <c r="B13" s="292" t="s">
        <v>704</v>
      </c>
      <c r="C13" s="293"/>
      <c r="D13" s="293"/>
      <c r="E13" s="293"/>
      <c r="F13" s="293"/>
      <c r="G13" s="293"/>
      <c r="H13" s="293"/>
      <c r="I13" s="293"/>
      <c r="J13" s="294"/>
    </row>
    <row r="14" spans="2:10">
      <c r="B14" s="31" t="s">
        <v>257</v>
      </c>
      <c r="C14" s="34" t="s">
        <v>126</v>
      </c>
      <c r="D14" s="34"/>
      <c r="E14" s="34"/>
      <c r="F14" s="34"/>
      <c r="G14" s="34"/>
      <c r="H14" s="34"/>
      <c r="I14" s="34"/>
      <c r="J14" s="34"/>
    </row>
    <row r="15" spans="2:10">
      <c r="B15" s="32" t="s">
        <v>103</v>
      </c>
      <c r="C15" s="36" t="s">
        <v>447</v>
      </c>
    </row>
    <row r="16" spans="2:10">
      <c r="B16" s="32" t="s">
        <v>104</v>
      </c>
      <c r="C16" s="36" t="s">
        <v>448</v>
      </c>
    </row>
    <row r="17" spans="2:6">
      <c r="B17" s="32" t="s">
        <v>105</v>
      </c>
      <c r="C17" s="36" t="s">
        <v>449</v>
      </c>
    </row>
    <row r="18" spans="2:6">
      <c r="B18" s="32" t="s">
        <v>106</v>
      </c>
      <c r="C18" s="36" t="s">
        <v>450</v>
      </c>
    </row>
    <row r="19" spans="2:6">
      <c r="B19" s="32" t="s">
        <v>107</v>
      </c>
      <c r="C19" s="36" t="s">
        <v>451</v>
      </c>
    </row>
    <row r="20" spans="2:6">
      <c r="B20" s="32" t="s">
        <v>108</v>
      </c>
      <c r="C20" s="36" t="s">
        <v>453</v>
      </c>
    </row>
    <row r="21" spans="2:6">
      <c r="B21" s="32" t="s">
        <v>255</v>
      </c>
      <c r="C21" s="36" t="s">
        <v>452</v>
      </c>
    </row>
    <row r="22" spans="2:6">
      <c r="B22" s="32" t="s">
        <v>302</v>
      </c>
      <c r="C22" s="36" t="s">
        <v>454</v>
      </c>
    </row>
    <row r="23" spans="2:6">
      <c r="B23" s="32" t="s">
        <v>657</v>
      </c>
      <c r="C23" s="36" t="s">
        <v>666</v>
      </c>
    </row>
    <row r="24" spans="2:6" hidden="1"/>
    <row r="25" spans="2:6" hidden="1"/>
    <row r="26" spans="2:6" hidden="1"/>
    <row r="27" spans="2:6" hidden="1"/>
    <row r="28" spans="2:6" hidden="1"/>
    <row r="29" spans="2:6" hidden="1"/>
    <row r="30" spans="2:6" ht="13.5" thickBot="1">
      <c r="B30" s="224">
        <f>COUNT(B32:B300)</f>
        <v>67</v>
      </c>
    </row>
    <row r="31" spans="2:6" ht="21">
      <c r="B31" s="103"/>
      <c r="C31" s="104" t="s">
        <v>96</v>
      </c>
      <c r="D31" s="105" t="s">
        <v>917</v>
      </c>
      <c r="E31" s="106" t="s">
        <v>98</v>
      </c>
      <c r="F31" s="107" t="s">
        <v>709</v>
      </c>
    </row>
    <row r="32" spans="2:6">
      <c r="B32" s="127" t="s">
        <v>257</v>
      </c>
      <c r="C32" s="128" t="s">
        <v>126</v>
      </c>
      <c r="D32" s="167"/>
      <c r="E32" s="101"/>
      <c r="F32" s="129"/>
    </row>
    <row r="33" spans="2:6" ht="63.75">
      <c r="B33" s="130">
        <v>1</v>
      </c>
      <c r="C33" s="132" t="s">
        <v>398</v>
      </c>
      <c r="D33" s="196" t="s">
        <v>918</v>
      </c>
      <c r="E33" s="110"/>
      <c r="F33" s="131" t="s">
        <v>103</v>
      </c>
    </row>
    <row r="34" spans="2:6" ht="25.5">
      <c r="B34" s="130">
        <v>2</v>
      </c>
      <c r="C34" s="132" t="s">
        <v>399</v>
      </c>
      <c r="D34" s="196" t="s">
        <v>918</v>
      </c>
      <c r="E34" s="110"/>
      <c r="F34" s="131" t="s">
        <v>103</v>
      </c>
    </row>
    <row r="35" spans="2:6" ht="38.25">
      <c r="B35" s="130">
        <v>3</v>
      </c>
      <c r="C35" s="132" t="s">
        <v>400</v>
      </c>
      <c r="D35" s="196" t="s">
        <v>918</v>
      </c>
      <c r="E35" s="110"/>
      <c r="F35" s="131" t="s">
        <v>103</v>
      </c>
    </row>
    <row r="36" spans="2:6" ht="25.5">
      <c r="B36" s="130">
        <v>4</v>
      </c>
      <c r="C36" s="318" t="s">
        <v>401</v>
      </c>
      <c r="D36" s="196" t="s">
        <v>918</v>
      </c>
      <c r="E36" s="110"/>
      <c r="F36" s="131" t="s">
        <v>103</v>
      </c>
    </row>
    <row r="37" spans="2:6" ht="51">
      <c r="B37" s="130">
        <v>5</v>
      </c>
      <c r="C37" s="318" t="s">
        <v>402</v>
      </c>
      <c r="D37" s="196" t="s">
        <v>918</v>
      </c>
      <c r="E37" s="110"/>
      <c r="F37" s="131" t="s">
        <v>103</v>
      </c>
    </row>
    <row r="38" spans="2:6" ht="38.25">
      <c r="B38" s="130">
        <v>6</v>
      </c>
      <c r="C38" s="132" t="s">
        <v>403</v>
      </c>
      <c r="D38" s="196" t="s">
        <v>918</v>
      </c>
      <c r="E38" s="110"/>
      <c r="F38" s="131" t="s">
        <v>103</v>
      </c>
    </row>
    <row r="39" spans="2:6" ht="51">
      <c r="B39" s="130">
        <v>7</v>
      </c>
      <c r="C39" s="132" t="s">
        <v>404</v>
      </c>
      <c r="D39" s="196" t="s">
        <v>918</v>
      </c>
      <c r="E39" s="110"/>
      <c r="F39" s="131" t="s">
        <v>103</v>
      </c>
    </row>
    <row r="40" spans="2:6" ht="51">
      <c r="B40" s="130">
        <v>8</v>
      </c>
      <c r="C40" s="318" t="s">
        <v>405</v>
      </c>
      <c r="D40" s="196" t="s">
        <v>918</v>
      </c>
      <c r="E40" s="110"/>
      <c r="F40" s="131" t="s">
        <v>103</v>
      </c>
    </row>
    <row r="41" spans="2:6" ht="38.25">
      <c r="B41" s="130">
        <v>9</v>
      </c>
      <c r="C41" s="318" t="s">
        <v>406</v>
      </c>
      <c r="D41" s="196" t="s">
        <v>918</v>
      </c>
      <c r="E41" s="110"/>
      <c r="F41" s="131" t="s">
        <v>103</v>
      </c>
    </row>
    <row r="42" spans="2:6" ht="38.25">
      <c r="B42" s="130">
        <v>10</v>
      </c>
      <c r="C42" s="318" t="s">
        <v>407</v>
      </c>
      <c r="D42" s="196" t="s">
        <v>918</v>
      </c>
      <c r="E42" s="110"/>
      <c r="F42" s="131" t="s">
        <v>103</v>
      </c>
    </row>
    <row r="43" spans="2:6" ht="38.25">
      <c r="B43" s="130">
        <v>11</v>
      </c>
      <c r="C43" s="318" t="s">
        <v>408</v>
      </c>
      <c r="D43" s="196" t="s">
        <v>918</v>
      </c>
      <c r="E43" s="110"/>
      <c r="F43" s="131" t="s">
        <v>103</v>
      </c>
    </row>
    <row r="44" spans="2:6" ht="38.25">
      <c r="B44" s="130">
        <v>12</v>
      </c>
      <c r="C44" s="318" t="s">
        <v>409</v>
      </c>
      <c r="D44" s="196" t="s">
        <v>918</v>
      </c>
      <c r="E44" s="110"/>
      <c r="F44" s="131" t="s">
        <v>103</v>
      </c>
    </row>
    <row r="45" spans="2:6" ht="38.25">
      <c r="B45" s="130">
        <v>13</v>
      </c>
      <c r="C45" s="318" t="s">
        <v>410</v>
      </c>
      <c r="D45" s="196" t="s">
        <v>918</v>
      </c>
      <c r="E45" s="110"/>
      <c r="F45" s="131" t="s">
        <v>103</v>
      </c>
    </row>
    <row r="46" spans="2:6" ht="38.25">
      <c r="B46" s="130">
        <v>14</v>
      </c>
      <c r="C46" s="132" t="s">
        <v>411</v>
      </c>
      <c r="D46" s="196" t="s">
        <v>918</v>
      </c>
      <c r="E46" s="110"/>
      <c r="F46" s="131" t="s">
        <v>103</v>
      </c>
    </row>
    <row r="47" spans="2:6" ht="79.5" customHeight="1">
      <c r="B47" s="130">
        <v>15</v>
      </c>
      <c r="C47" s="132" t="s">
        <v>412</v>
      </c>
      <c r="D47" s="196" t="s">
        <v>918</v>
      </c>
      <c r="E47" s="110"/>
      <c r="F47" s="131" t="s">
        <v>103</v>
      </c>
    </row>
    <row r="48" spans="2:6" ht="25.5">
      <c r="B48" s="130">
        <v>16</v>
      </c>
      <c r="C48" s="132" t="s">
        <v>413</v>
      </c>
      <c r="D48" s="196" t="s">
        <v>918</v>
      </c>
      <c r="E48" s="110"/>
      <c r="F48" s="131" t="s">
        <v>103</v>
      </c>
    </row>
    <row r="49" spans="2:6" ht="38.25">
      <c r="B49" s="130">
        <v>17</v>
      </c>
      <c r="C49" s="132" t="s">
        <v>414</v>
      </c>
      <c r="D49" s="196" t="s">
        <v>918</v>
      </c>
      <c r="E49" s="110"/>
      <c r="F49" s="131" t="s">
        <v>104</v>
      </c>
    </row>
    <row r="50" spans="2:6" ht="38.25">
      <c r="B50" s="130">
        <v>18</v>
      </c>
      <c r="C50" s="132" t="s">
        <v>415</v>
      </c>
      <c r="D50" s="196" t="s">
        <v>918</v>
      </c>
      <c r="E50" s="110"/>
      <c r="F50" s="131" t="s">
        <v>104</v>
      </c>
    </row>
    <row r="51" spans="2:6" ht="25.5">
      <c r="B51" s="130">
        <v>19</v>
      </c>
      <c r="C51" s="132" t="s">
        <v>416</v>
      </c>
      <c r="D51" s="196" t="s">
        <v>918</v>
      </c>
      <c r="E51" s="110"/>
      <c r="F51" s="131" t="s">
        <v>104</v>
      </c>
    </row>
    <row r="52" spans="2:6" ht="38.25">
      <c r="B52" s="130">
        <v>20</v>
      </c>
      <c r="C52" s="132" t="s">
        <v>417</v>
      </c>
      <c r="D52" s="196" t="s">
        <v>918</v>
      </c>
      <c r="E52" s="110"/>
      <c r="F52" s="131" t="s">
        <v>104</v>
      </c>
    </row>
    <row r="53" spans="2:6" ht="60.75" customHeight="1">
      <c r="B53" s="130">
        <v>21</v>
      </c>
      <c r="C53" s="133" t="s">
        <v>418</v>
      </c>
      <c r="D53" s="196" t="s">
        <v>918</v>
      </c>
      <c r="E53" s="110"/>
      <c r="F53" s="131" t="s">
        <v>104</v>
      </c>
    </row>
    <row r="54" spans="2:6" ht="62.25" customHeight="1">
      <c r="B54" s="130">
        <v>22</v>
      </c>
      <c r="C54" s="319" t="s">
        <v>806</v>
      </c>
      <c r="D54" s="196" t="s">
        <v>918</v>
      </c>
      <c r="E54" s="110"/>
      <c r="F54" s="131" t="s">
        <v>104</v>
      </c>
    </row>
    <row r="55" spans="2:6" ht="108" customHeight="1">
      <c r="B55" s="130">
        <v>23</v>
      </c>
      <c r="C55" s="319" t="s">
        <v>813</v>
      </c>
      <c r="D55" s="196" t="s">
        <v>918</v>
      </c>
      <c r="E55" s="110"/>
      <c r="F55" s="131" t="s">
        <v>104</v>
      </c>
    </row>
    <row r="56" spans="2:6" ht="25.5">
      <c r="B56" s="130">
        <v>24</v>
      </c>
      <c r="C56" s="319" t="s">
        <v>808</v>
      </c>
      <c r="D56" s="196" t="s">
        <v>918</v>
      </c>
      <c r="E56" s="110"/>
      <c r="F56" s="131" t="s">
        <v>104</v>
      </c>
    </row>
    <row r="57" spans="2:6" ht="25.5">
      <c r="B57" s="130">
        <v>25</v>
      </c>
      <c r="C57" s="319" t="s">
        <v>665</v>
      </c>
      <c r="D57" s="196" t="s">
        <v>918</v>
      </c>
      <c r="E57" s="110"/>
      <c r="F57" s="131" t="s">
        <v>104</v>
      </c>
    </row>
    <row r="58" spans="2:6" ht="25.5">
      <c r="B58" s="130">
        <v>26</v>
      </c>
      <c r="C58" s="319" t="s">
        <v>809</v>
      </c>
      <c r="D58" s="196" t="s">
        <v>918</v>
      </c>
      <c r="E58" s="110"/>
      <c r="F58" s="131" t="s">
        <v>104</v>
      </c>
    </row>
    <row r="59" spans="2:6" ht="38.25">
      <c r="B59" s="130">
        <v>27</v>
      </c>
      <c r="C59" s="319" t="s">
        <v>807</v>
      </c>
      <c r="D59" s="196" t="s">
        <v>918</v>
      </c>
      <c r="E59" s="110"/>
      <c r="F59" s="131" t="s">
        <v>104</v>
      </c>
    </row>
    <row r="60" spans="2:6" ht="45" customHeight="1">
      <c r="B60" s="130">
        <v>28</v>
      </c>
      <c r="C60" s="132" t="s">
        <v>810</v>
      </c>
      <c r="D60" s="196" t="s">
        <v>918</v>
      </c>
      <c r="E60" s="110"/>
      <c r="F60" s="131" t="s">
        <v>105</v>
      </c>
    </row>
    <row r="61" spans="2:6" ht="45" customHeight="1">
      <c r="B61" s="130">
        <v>29</v>
      </c>
      <c r="C61" s="132" t="s">
        <v>419</v>
      </c>
      <c r="D61" s="196" t="s">
        <v>918</v>
      </c>
      <c r="E61" s="110"/>
      <c r="F61" s="131" t="s">
        <v>105</v>
      </c>
    </row>
    <row r="62" spans="2:6" ht="48" customHeight="1">
      <c r="B62" s="130">
        <v>30</v>
      </c>
      <c r="C62" s="132" t="s">
        <v>420</v>
      </c>
      <c r="D62" s="196" t="s">
        <v>918</v>
      </c>
      <c r="E62" s="110"/>
      <c r="F62" s="131" t="s">
        <v>105</v>
      </c>
    </row>
    <row r="63" spans="2:6" ht="46.5" customHeight="1">
      <c r="B63" s="130">
        <v>31</v>
      </c>
      <c r="C63" s="132" t="s">
        <v>421</v>
      </c>
      <c r="D63" s="196" t="s">
        <v>918</v>
      </c>
      <c r="E63" s="110"/>
      <c r="F63" s="131" t="s">
        <v>105</v>
      </c>
    </row>
    <row r="64" spans="2:6" ht="82.5" customHeight="1">
      <c r="B64" s="130">
        <v>32</v>
      </c>
      <c r="C64" s="132" t="s">
        <v>422</v>
      </c>
      <c r="D64" s="196" t="s">
        <v>918</v>
      </c>
      <c r="E64" s="110"/>
      <c r="F64" s="131" t="s">
        <v>105</v>
      </c>
    </row>
    <row r="65" spans="2:6" ht="76.5">
      <c r="B65" s="130">
        <v>33</v>
      </c>
      <c r="C65" s="132" t="s">
        <v>423</v>
      </c>
      <c r="D65" s="196" t="s">
        <v>918</v>
      </c>
      <c r="E65" s="110"/>
      <c r="F65" s="131" t="s">
        <v>105</v>
      </c>
    </row>
    <row r="66" spans="2:6" ht="25.5">
      <c r="B66" s="130">
        <v>34</v>
      </c>
      <c r="C66" s="133" t="s">
        <v>424</v>
      </c>
      <c r="D66" s="196" t="s">
        <v>918</v>
      </c>
      <c r="E66" s="110"/>
      <c r="F66" s="131" t="s">
        <v>105</v>
      </c>
    </row>
    <row r="67" spans="2:6" ht="51">
      <c r="B67" s="130">
        <v>35</v>
      </c>
      <c r="C67" s="132" t="s">
        <v>425</v>
      </c>
      <c r="D67" s="196" t="s">
        <v>918</v>
      </c>
      <c r="E67" s="110"/>
      <c r="F67" s="131" t="s">
        <v>105</v>
      </c>
    </row>
    <row r="68" spans="2:6" ht="51">
      <c r="B68" s="130">
        <v>36</v>
      </c>
      <c r="C68" s="132" t="s">
        <v>426</v>
      </c>
      <c r="D68" s="196" t="s">
        <v>918</v>
      </c>
      <c r="E68" s="110"/>
      <c r="F68" s="131" t="s">
        <v>105</v>
      </c>
    </row>
    <row r="69" spans="2:6" ht="76.5">
      <c r="B69" s="130">
        <v>37</v>
      </c>
      <c r="C69" s="132" t="s">
        <v>427</v>
      </c>
      <c r="D69" s="196" t="s">
        <v>918</v>
      </c>
      <c r="E69" s="110"/>
      <c r="F69" s="131" t="s">
        <v>105</v>
      </c>
    </row>
    <row r="70" spans="2:6" ht="51">
      <c r="B70" s="130">
        <v>38</v>
      </c>
      <c r="C70" s="133" t="s">
        <v>428</v>
      </c>
      <c r="D70" s="196" t="s">
        <v>918</v>
      </c>
      <c r="E70" s="110"/>
      <c r="F70" s="131" t="s">
        <v>105</v>
      </c>
    </row>
    <row r="71" spans="2:6" ht="63.75">
      <c r="B71" s="130">
        <v>39</v>
      </c>
      <c r="C71" s="132" t="s">
        <v>429</v>
      </c>
      <c r="D71" s="196" t="s">
        <v>918</v>
      </c>
      <c r="E71" s="110"/>
      <c r="F71" s="131" t="s">
        <v>105</v>
      </c>
    </row>
    <row r="72" spans="2:6" ht="38.25">
      <c r="B72" s="130">
        <v>40</v>
      </c>
      <c r="C72" s="318" t="s">
        <v>430</v>
      </c>
      <c r="D72" s="196" t="s">
        <v>918</v>
      </c>
      <c r="E72" s="110"/>
      <c r="F72" s="131" t="s">
        <v>105</v>
      </c>
    </row>
    <row r="73" spans="2:6" ht="51">
      <c r="B73" s="130">
        <v>41</v>
      </c>
      <c r="C73" s="318" t="s">
        <v>431</v>
      </c>
      <c r="D73" s="196" t="s">
        <v>918</v>
      </c>
      <c r="E73" s="110"/>
      <c r="F73" s="131" t="s">
        <v>105</v>
      </c>
    </row>
    <row r="74" spans="2:6" ht="38.25">
      <c r="B74" s="130">
        <v>42</v>
      </c>
      <c r="C74" s="132" t="s">
        <v>432</v>
      </c>
      <c r="D74" s="196" t="s">
        <v>918</v>
      </c>
      <c r="E74" s="110"/>
      <c r="F74" s="131" t="s">
        <v>106</v>
      </c>
    </row>
    <row r="75" spans="2:6" ht="62.25" customHeight="1">
      <c r="B75" s="130">
        <v>43</v>
      </c>
      <c r="C75" s="132" t="s">
        <v>433</v>
      </c>
      <c r="D75" s="196" t="s">
        <v>918</v>
      </c>
      <c r="E75" s="110"/>
      <c r="F75" s="131" t="s">
        <v>106</v>
      </c>
    </row>
    <row r="76" spans="2:6" ht="51">
      <c r="B76" s="130">
        <v>44</v>
      </c>
      <c r="C76" s="132" t="s">
        <v>434</v>
      </c>
      <c r="D76" s="196" t="s">
        <v>918</v>
      </c>
      <c r="E76" s="110"/>
      <c r="F76" s="131" t="s">
        <v>107</v>
      </c>
    </row>
    <row r="77" spans="2:6" ht="25.5">
      <c r="B77" s="130">
        <v>45</v>
      </c>
      <c r="C77" s="132" t="s">
        <v>435</v>
      </c>
      <c r="D77" s="196" t="s">
        <v>918</v>
      </c>
      <c r="E77" s="110"/>
      <c r="F77" s="131" t="s">
        <v>108</v>
      </c>
    </row>
    <row r="78" spans="2:6" ht="38.25">
      <c r="B78" s="130">
        <v>46</v>
      </c>
      <c r="C78" s="132" t="s">
        <v>436</v>
      </c>
      <c r="D78" s="196" t="s">
        <v>918</v>
      </c>
      <c r="E78" s="110"/>
      <c r="F78" s="131" t="s">
        <v>108</v>
      </c>
    </row>
    <row r="79" spans="2:6" ht="51">
      <c r="B79" s="130">
        <v>47</v>
      </c>
      <c r="C79" s="132" t="s">
        <v>502</v>
      </c>
      <c r="D79" s="196" t="s">
        <v>918</v>
      </c>
      <c r="E79" s="110"/>
      <c r="F79" s="131" t="s">
        <v>255</v>
      </c>
    </row>
    <row r="80" spans="2:6" ht="38.25">
      <c r="B80" s="130">
        <v>48</v>
      </c>
      <c r="C80" s="132" t="s">
        <v>437</v>
      </c>
      <c r="D80" s="196" t="s">
        <v>918</v>
      </c>
      <c r="E80" s="110"/>
      <c r="F80" s="131" t="s">
        <v>255</v>
      </c>
    </row>
    <row r="81" spans="2:13" ht="25.5">
      <c r="B81" s="130">
        <v>49</v>
      </c>
      <c r="C81" s="318" t="s">
        <v>438</v>
      </c>
      <c r="D81" s="196" t="s">
        <v>918</v>
      </c>
      <c r="E81" s="110"/>
      <c r="F81" s="131" t="s">
        <v>255</v>
      </c>
    </row>
    <row r="82" spans="2:13" ht="51">
      <c r="B82" s="130">
        <v>50</v>
      </c>
      <c r="C82" s="318" t="s">
        <v>812</v>
      </c>
      <c r="D82" s="196" t="s">
        <v>918</v>
      </c>
      <c r="E82" s="110"/>
      <c r="F82" s="131" t="s">
        <v>255</v>
      </c>
    </row>
    <row r="83" spans="2:13" ht="25.5">
      <c r="B83" s="130">
        <v>51</v>
      </c>
      <c r="C83" s="320" t="s">
        <v>439</v>
      </c>
      <c r="D83" s="196" t="s">
        <v>918</v>
      </c>
      <c r="E83" s="110"/>
      <c r="F83" s="131" t="s">
        <v>255</v>
      </c>
    </row>
    <row r="84" spans="2:13" ht="25.5">
      <c r="B84" s="130">
        <v>52</v>
      </c>
      <c r="C84" s="320" t="s">
        <v>440</v>
      </c>
      <c r="D84" s="196" t="s">
        <v>918</v>
      </c>
      <c r="E84" s="110"/>
      <c r="F84" s="131" t="s">
        <v>255</v>
      </c>
    </row>
    <row r="85" spans="2:13" ht="25.5">
      <c r="B85" s="130">
        <v>53</v>
      </c>
      <c r="C85" s="318" t="s">
        <v>441</v>
      </c>
      <c r="D85" s="196" t="s">
        <v>918</v>
      </c>
      <c r="E85" s="110"/>
      <c r="F85" s="131" t="s">
        <v>255</v>
      </c>
    </row>
    <row r="86" spans="2:13" ht="38.25">
      <c r="B86" s="130">
        <v>54</v>
      </c>
      <c r="C86" s="132" t="s">
        <v>442</v>
      </c>
      <c r="D86" s="196" t="s">
        <v>918</v>
      </c>
      <c r="E86" s="110"/>
      <c r="F86" s="131" t="s">
        <v>255</v>
      </c>
    </row>
    <row r="87" spans="2:13" ht="38.25">
      <c r="B87" s="130">
        <v>55</v>
      </c>
      <c r="C87" s="132" t="s">
        <v>443</v>
      </c>
      <c r="D87" s="196" t="s">
        <v>918</v>
      </c>
      <c r="E87" s="110"/>
      <c r="F87" s="131" t="s">
        <v>255</v>
      </c>
    </row>
    <row r="88" spans="2:13" ht="38.25">
      <c r="B88" s="130">
        <v>56</v>
      </c>
      <c r="C88" s="133" t="s">
        <v>444</v>
      </c>
      <c r="D88" s="196" t="s">
        <v>918</v>
      </c>
      <c r="E88" s="110"/>
      <c r="F88" s="131" t="s">
        <v>302</v>
      </c>
    </row>
    <row r="89" spans="2:13" ht="51">
      <c r="B89" s="130">
        <v>57</v>
      </c>
      <c r="C89" s="132" t="s">
        <v>445</v>
      </c>
      <c r="D89" s="196" t="s">
        <v>918</v>
      </c>
      <c r="E89" s="110"/>
      <c r="F89" s="131" t="s">
        <v>302</v>
      </c>
    </row>
    <row r="90" spans="2:13" ht="25.5">
      <c r="B90" s="130">
        <v>58</v>
      </c>
      <c r="C90" s="319" t="s">
        <v>587</v>
      </c>
      <c r="D90" s="196" t="s">
        <v>918</v>
      </c>
      <c r="E90" s="110"/>
      <c r="F90" s="131" t="s">
        <v>302</v>
      </c>
    </row>
    <row r="91" spans="2:13" ht="38.25">
      <c r="B91" s="130">
        <v>59</v>
      </c>
      <c r="C91" s="319" t="s">
        <v>664</v>
      </c>
      <c r="D91" s="196" t="s">
        <v>918</v>
      </c>
      <c r="E91" s="110"/>
      <c r="F91" s="131" t="s">
        <v>302</v>
      </c>
    </row>
    <row r="92" spans="2:13" ht="57" customHeight="1">
      <c r="B92" s="130">
        <v>60</v>
      </c>
      <c r="C92" s="319" t="s">
        <v>663</v>
      </c>
      <c r="D92" s="196" t="s">
        <v>918</v>
      </c>
      <c r="E92" s="110"/>
      <c r="F92" s="131" t="s">
        <v>657</v>
      </c>
      <c r="L92" s="32"/>
      <c r="M92" s="36"/>
    </row>
    <row r="93" spans="2:13" ht="51">
      <c r="B93" s="130">
        <v>61</v>
      </c>
      <c r="C93" s="319" t="s">
        <v>662</v>
      </c>
      <c r="D93" s="196" t="s">
        <v>918</v>
      </c>
      <c r="E93" s="110"/>
      <c r="F93" s="131" t="s">
        <v>657</v>
      </c>
      <c r="L93" s="32"/>
      <c r="M93" s="36"/>
    </row>
    <row r="94" spans="2:13" ht="25.5">
      <c r="B94" s="130">
        <v>62</v>
      </c>
      <c r="C94" s="319" t="s">
        <v>661</v>
      </c>
      <c r="D94" s="196" t="s">
        <v>918</v>
      </c>
      <c r="E94" s="110"/>
      <c r="F94" s="131" t="s">
        <v>657</v>
      </c>
      <c r="L94" s="32"/>
      <c r="M94" s="36"/>
    </row>
    <row r="95" spans="2:13" ht="38.25">
      <c r="B95" s="130">
        <v>63</v>
      </c>
      <c r="C95" s="319" t="s">
        <v>660</v>
      </c>
      <c r="D95" s="196" t="s">
        <v>918</v>
      </c>
      <c r="E95" s="110"/>
      <c r="F95" s="131" t="s">
        <v>657</v>
      </c>
      <c r="L95" s="32"/>
      <c r="M95" s="36"/>
    </row>
    <row r="96" spans="2:13" ht="25.5">
      <c r="B96" s="130">
        <v>64</v>
      </c>
      <c r="C96" s="319" t="s">
        <v>659</v>
      </c>
      <c r="D96" s="196" t="s">
        <v>918</v>
      </c>
      <c r="E96" s="110"/>
      <c r="F96" s="131" t="s">
        <v>657</v>
      </c>
      <c r="L96" s="32"/>
      <c r="M96" s="36"/>
    </row>
    <row r="97" spans="2:13" ht="25.5">
      <c r="B97" s="130">
        <v>65</v>
      </c>
      <c r="C97" s="319" t="s">
        <v>804</v>
      </c>
      <c r="D97" s="196" t="s">
        <v>918</v>
      </c>
      <c r="E97" s="110"/>
      <c r="F97" s="131" t="s">
        <v>657</v>
      </c>
      <c r="L97" s="32"/>
      <c r="M97" s="36"/>
    </row>
    <row r="98" spans="2:13" ht="38.25">
      <c r="B98" s="130">
        <v>66</v>
      </c>
      <c r="C98" s="321" t="s">
        <v>658</v>
      </c>
      <c r="D98" s="196" t="s">
        <v>918</v>
      </c>
      <c r="E98" s="123"/>
      <c r="F98" s="134" t="s">
        <v>657</v>
      </c>
      <c r="L98" s="32"/>
      <c r="M98" s="36"/>
    </row>
    <row r="99" spans="2:13" ht="38.25">
      <c r="B99" s="130">
        <v>67</v>
      </c>
      <c r="C99" s="322" t="s">
        <v>840</v>
      </c>
      <c r="D99" s="196" t="s">
        <v>918</v>
      </c>
      <c r="E99" s="123"/>
      <c r="F99" s="134" t="s">
        <v>895</v>
      </c>
    </row>
    <row r="100" spans="2:13" ht="13.5" thickBot="1">
      <c r="B100" s="96"/>
      <c r="C100" s="97"/>
      <c r="D100" s="98"/>
      <c r="E100" s="98"/>
      <c r="F100" s="99"/>
      <c r="L100" s="32"/>
      <c r="M100" s="36"/>
    </row>
    <row r="101" spans="2:13">
      <c r="C101" s="35"/>
      <c r="L101" s="32"/>
      <c r="M101" s="36"/>
    </row>
    <row r="102" spans="2:13">
      <c r="C102" s="35"/>
      <c r="L102" s="32"/>
      <c r="M102" s="36"/>
    </row>
    <row r="103" spans="2:13">
      <c r="C103" s="35"/>
      <c r="L103" s="32"/>
      <c r="M103" s="36"/>
    </row>
    <row r="104" spans="2:13" ht="14.25">
      <c r="B104" s="286" t="s">
        <v>706</v>
      </c>
      <c r="C104" s="287"/>
      <c r="D104" s="287"/>
      <c r="E104" s="287"/>
      <c r="F104" s="287"/>
      <c r="G104" s="287"/>
      <c r="H104" s="287"/>
      <c r="I104" s="287"/>
      <c r="J104" s="287"/>
      <c r="L104" s="32"/>
      <c r="M104" s="36"/>
    </row>
    <row r="105" spans="2:13" ht="38.25">
      <c r="B105" s="28"/>
      <c r="C105" s="28" t="s">
        <v>678</v>
      </c>
      <c r="D105" s="28"/>
      <c r="E105" s="28"/>
      <c r="F105" s="28"/>
      <c r="G105" s="28"/>
      <c r="H105" s="28"/>
      <c r="I105" s="28"/>
      <c r="J105" s="28"/>
      <c r="L105" s="32"/>
      <c r="M105" s="36"/>
    </row>
    <row r="106" spans="2:13">
      <c r="C106" s="35" t="s">
        <v>679</v>
      </c>
      <c r="L106" s="32"/>
      <c r="M106" s="36"/>
    </row>
    <row r="107" spans="2:13">
      <c r="B107"/>
      <c r="C107"/>
      <c r="J107"/>
      <c r="L107" s="32"/>
      <c r="M107" s="36"/>
    </row>
    <row r="108" spans="2:13">
      <c r="B108"/>
      <c r="C108"/>
      <c r="J108"/>
      <c r="L108" s="32"/>
      <c r="M108" s="36"/>
    </row>
    <row r="109" spans="2:13">
      <c r="B109"/>
      <c r="C109"/>
      <c r="J109"/>
      <c r="L109" s="32"/>
      <c r="M109" s="36"/>
    </row>
    <row r="110" spans="2:13">
      <c r="B110"/>
      <c r="C110"/>
      <c r="J110"/>
      <c r="L110" s="32"/>
      <c r="M110" s="36"/>
    </row>
    <row r="111" spans="2:13">
      <c r="B111"/>
      <c r="C111"/>
      <c r="J111"/>
      <c r="L111" s="32"/>
      <c r="M111" s="36"/>
    </row>
    <row r="112" spans="2:13">
      <c r="B112"/>
      <c r="C112"/>
      <c r="J112"/>
      <c r="L112" s="32"/>
      <c r="M112" s="36"/>
    </row>
  </sheetData>
  <mergeCells count="11">
    <mergeCell ref="B9:C9"/>
    <mergeCell ref="B10:C10"/>
    <mergeCell ref="B11:C11"/>
    <mergeCell ref="B13:J13"/>
    <mergeCell ref="B104:J104"/>
    <mergeCell ref="B8:C8"/>
    <mergeCell ref="B2:E2"/>
    <mergeCell ref="B3:C3"/>
    <mergeCell ref="B4:C4"/>
    <mergeCell ref="B6:C6"/>
    <mergeCell ref="B7:C7"/>
  </mergeCells>
  <dataValidations count="1">
    <dataValidation type="list" showInputMessage="1" showErrorMessage="1" sqref="D33:D99">
      <formula1>"TODO NATIVO, NATIVO Y DESARROLLO, DESARROLLO TOTAL"</formula1>
    </dataValidation>
  </dataValidations>
  <pageMargins left="0.7" right="0.7" top="0.75" bottom="0.75" header="0.3" footer="0.3"/>
  <pageSetup orientation="portrait" r:id="rId1"/>
  <customProperties>
    <customPr name="DVSECTIONID" r:id="rId2"/>
  </customProperties>
</worksheet>
</file>

<file path=xl/worksheets/sheet11.xml><?xml version="1.0" encoding="utf-8"?>
<worksheet xmlns="http://schemas.openxmlformats.org/spreadsheetml/2006/main" xmlns:r="http://schemas.openxmlformats.org/officeDocument/2006/relationships">
  <sheetPr>
    <tabColor rgb="FFFFC000"/>
  </sheetPr>
  <dimension ref="A1:J55"/>
  <sheetViews>
    <sheetView topLeftCell="B45" zoomScale="85" zoomScaleNormal="85" workbookViewId="0">
      <selection activeCell="C48" sqref="C48"/>
    </sheetView>
  </sheetViews>
  <sheetFormatPr defaultRowHeight="12.75"/>
  <cols>
    <col min="1" max="1" width="0" hidden="1" customWidth="1"/>
    <col min="3" max="3" width="45.85546875" customWidth="1"/>
    <col min="4" max="4" width="19.42578125" customWidth="1"/>
    <col min="5" max="5" width="11.7109375" customWidth="1"/>
    <col min="6" max="7" width="11.140625" customWidth="1"/>
    <col min="8" max="8" width="10.28515625" customWidth="1"/>
    <col min="9" max="10" width="13.140625"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38.25" customHeight="1">
      <c r="B6" s="284" t="s">
        <v>689</v>
      </c>
      <c r="C6" s="285"/>
      <c r="D6" s="153" t="s">
        <v>861</v>
      </c>
      <c r="E6" s="67" t="s">
        <v>862</v>
      </c>
      <c r="F6" s="153" t="s">
        <v>860</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1:10" ht="13.5" hidden="1" customHeight="1">
      <c r="B17" s="207"/>
      <c r="C17" s="207"/>
      <c r="D17" s="79"/>
      <c r="E17" s="208"/>
      <c r="F17" s="79"/>
      <c r="G17" s="208"/>
      <c r="H17" s="79"/>
      <c r="J17" s="33"/>
    </row>
    <row r="18" spans="1:10" ht="13.5" hidden="1" customHeight="1">
      <c r="B18" s="207"/>
      <c r="C18" s="207"/>
      <c r="D18" s="79"/>
      <c r="E18" s="208"/>
      <c r="F18" s="79"/>
      <c r="G18" s="208"/>
      <c r="H18" s="79"/>
      <c r="J18" s="33"/>
    </row>
    <row r="19" spans="1:10" ht="13.5" hidden="1" customHeight="1">
      <c r="B19" s="207"/>
      <c r="C19" s="207"/>
      <c r="D19" s="79"/>
      <c r="E19" s="208"/>
      <c r="F19" s="79"/>
      <c r="G19" s="208"/>
      <c r="H19" s="79"/>
      <c r="J19" s="33"/>
    </row>
    <row r="20" spans="1:10" ht="13.5" hidden="1" customHeight="1">
      <c r="B20" s="207"/>
      <c r="C20" s="207"/>
      <c r="D20" s="79"/>
      <c r="E20" s="208"/>
      <c r="F20" s="79"/>
      <c r="G20" s="208"/>
      <c r="H20" s="79"/>
      <c r="J20" s="33"/>
    </row>
    <row r="21" spans="1:10" ht="13.5" hidden="1" customHeight="1">
      <c r="B21" s="207"/>
      <c r="C21" s="207"/>
      <c r="D21" s="79"/>
      <c r="E21" s="208"/>
      <c r="F21" s="79"/>
      <c r="G21" s="208"/>
      <c r="H21" s="79"/>
      <c r="J21" s="33"/>
    </row>
    <row r="22" spans="1:10" ht="13.5" hidden="1" customHeight="1">
      <c r="B22" s="207"/>
      <c r="C22" s="207"/>
      <c r="D22" s="79"/>
      <c r="E22" s="208"/>
      <c r="F22" s="79"/>
      <c r="G22" s="208"/>
      <c r="H22" s="79"/>
      <c r="J22" s="33"/>
    </row>
    <row r="23" spans="1:10" ht="13.5" hidden="1" customHeight="1">
      <c r="B23" s="207"/>
      <c r="C23" s="207"/>
      <c r="D23" s="79"/>
      <c r="E23" s="208"/>
      <c r="F23" s="79"/>
      <c r="G23" s="208"/>
      <c r="H23" s="79"/>
      <c r="J23" s="33"/>
    </row>
    <row r="24" spans="1:10" ht="13.5" hidden="1" customHeight="1">
      <c r="B24" s="207"/>
      <c r="C24" s="207"/>
      <c r="D24" s="79"/>
      <c r="E24" s="208"/>
      <c r="F24" s="79"/>
      <c r="G24" s="208"/>
      <c r="H24" s="79"/>
      <c r="J24" s="33"/>
    </row>
    <row r="25" spans="1:10" ht="13.5" hidden="1" customHeight="1">
      <c r="B25" s="207"/>
      <c r="C25" s="207"/>
      <c r="D25" s="79"/>
      <c r="E25" s="208"/>
      <c r="F25" s="79"/>
      <c r="G25" s="208"/>
      <c r="H25" s="79"/>
      <c r="J25" s="33"/>
    </row>
    <row r="26" spans="1:10" ht="13.5" hidden="1" customHeight="1">
      <c r="B26" s="207"/>
      <c r="C26" s="207"/>
      <c r="D26" s="79"/>
      <c r="E26" s="208"/>
      <c r="F26" s="79"/>
      <c r="G26" s="208"/>
      <c r="H26" s="79"/>
      <c r="J26" s="33"/>
    </row>
    <row r="27" spans="1:10" ht="13.5" hidden="1" customHeight="1">
      <c r="B27" s="207"/>
      <c r="C27" s="207"/>
      <c r="D27" s="79"/>
      <c r="E27" s="208"/>
      <c r="F27" s="79"/>
      <c r="G27" s="208"/>
      <c r="H27" s="79"/>
      <c r="J27" s="33"/>
    </row>
    <row r="28" spans="1:10" ht="13.5" hidden="1" customHeight="1">
      <c r="B28" s="207"/>
      <c r="C28" s="207"/>
      <c r="D28" s="79"/>
      <c r="E28" s="208"/>
      <c r="F28" s="79"/>
      <c r="G28" s="208"/>
      <c r="H28" s="79"/>
      <c r="J28" s="33"/>
    </row>
    <row r="29" spans="1:10" ht="13.5" hidden="1" customHeight="1">
      <c r="B29" s="207"/>
      <c r="C29" s="207"/>
      <c r="D29" s="79"/>
      <c r="E29" s="208"/>
      <c r="F29" s="79"/>
      <c r="G29" s="208"/>
      <c r="H29" s="79"/>
      <c r="J29" s="33"/>
    </row>
    <row r="30" spans="1:10" ht="13.5" thickBot="1">
      <c r="B30" s="224">
        <f>COUNT(B32:B301)</f>
        <v>16</v>
      </c>
      <c r="C30" s="35"/>
      <c r="J30" s="33"/>
    </row>
    <row r="31" spans="1:10" ht="14.25" customHeight="1" thickBot="1">
      <c r="B31" s="272" t="s">
        <v>704</v>
      </c>
      <c r="C31" s="273"/>
      <c r="D31" s="273"/>
      <c r="E31" s="273"/>
      <c r="F31" s="273"/>
    </row>
    <row r="32" spans="1:10" ht="25.5">
      <c r="A32" s="55" t="s">
        <v>97</v>
      </c>
      <c r="B32" s="87" t="s">
        <v>896</v>
      </c>
      <c r="C32" s="88" t="s">
        <v>96</v>
      </c>
      <c r="D32" s="105" t="s">
        <v>917</v>
      </c>
      <c r="E32" s="89" t="s">
        <v>98</v>
      </c>
      <c r="F32" s="90" t="s">
        <v>709</v>
      </c>
    </row>
    <row r="33" spans="1:6" ht="51">
      <c r="A33" s="55"/>
      <c r="B33" s="185">
        <v>1</v>
      </c>
      <c r="C33" s="95" t="s">
        <v>891</v>
      </c>
      <c r="D33" s="196" t="s">
        <v>918</v>
      </c>
      <c r="E33" s="92"/>
      <c r="F33" s="93"/>
    </row>
    <row r="34" spans="1:6" ht="51">
      <c r="A34" s="55"/>
      <c r="B34" s="186">
        <v>2</v>
      </c>
      <c r="C34" s="323" t="s">
        <v>892</v>
      </c>
      <c r="D34" s="196" t="s">
        <v>918</v>
      </c>
      <c r="E34" s="162"/>
      <c r="F34" s="150"/>
    </row>
    <row r="35" spans="1:6" ht="51">
      <c r="A35" s="57">
        <v>59</v>
      </c>
      <c r="B35" s="185">
        <v>3</v>
      </c>
      <c r="C35" s="95" t="s">
        <v>485</v>
      </c>
      <c r="D35" s="196" t="s">
        <v>918</v>
      </c>
      <c r="E35" s="92"/>
      <c r="F35" s="93"/>
    </row>
    <row r="36" spans="1:6" ht="63.75">
      <c r="A36" s="57">
        <v>62</v>
      </c>
      <c r="B36" s="186">
        <v>4</v>
      </c>
      <c r="C36" s="95" t="s">
        <v>487</v>
      </c>
      <c r="D36" s="196" t="s">
        <v>918</v>
      </c>
      <c r="E36" s="92"/>
      <c r="F36" s="93"/>
    </row>
    <row r="37" spans="1:6" ht="63.75">
      <c r="A37" s="57">
        <v>22</v>
      </c>
      <c r="B37" s="185">
        <v>5</v>
      </c>
      <c r="C37" s="95" t="s">
        <v>486</v>
      </c>
      <c r="D37" s="196" t="s">
        <v>918</v>
      </c>
      <c r="E37" s="92"/>
      <c r="F37" s="93"/>
    </row>
    <row r="38" spans="1:6" ht="63.75">
      <c r="A38" s="57">
        <v>177</v>
      </c>
      <c r="B38" s="186">
        <v>6</v>
      </c>
      <c r="C38" s="95" t="s">
        <v>635</v>
      </c>
      <c r="D38" s="196" t="s">
        <v>918</v>
      </c>
      <c r="E38" s="92"/>
      <c r="F38" s="93"/>
    </row>
    <row r="39" spans="1:6" ht="255">
      <c r="A39" s="57">
        <v>80</v>
      </c>
      <c r="B39" s="185">
        <v>7</v>
      </c>
      <c r="C39" s="95" t="s">
        <v>140</v>
      </c>
      <c r="D39" s="196" t="s">
        <v>918</v>
      </c>
      <c r="E39" s="92"/>
      <c r="F39" s="93"/>
    </row>
    <row r="40" spans="1:6" ht="127.5">
      <c r="A40" s="57">
        <v>56</v>
      </c>
      <c r="B40" s="186">
        <v>8</v>
      </c>
      <c r="C40" s="95" t="s">
        <v>681</v>
      </c>
      <c r="D40" s="196" t="s">
        <v>918</v>
      </c>
      <c r="E40" s="92"/>
      <c r="F40" s="93"/>
    </row>
    <row r="41" spans="1:6" ht="63.75">
      <c r="A41" s="57">
        <v>174</v>
      </c>
      <c r="B41" s="185">
        <v>9</v>
      </c>
      <c r="C41" s="95" t="s">
        <v>498</v>
      </c>
      <c r="D41" s="196" t="s">
        <v>918</v>
      </c>
      <c r="E41" s="92"/>
      <c r="F41" s="93"/>
    </row>
    <row r="42" spans="1:6" ht="63.75">
      <c r="A42" s="57">
        <v>24</v>
      </c>
      <c r="B42" s="186">
        <v>10</v>
      </c>
      <c r="C42" s="95" t="s">
        <v>864</v>
      </c>
      <c r="D42" s="196" t="s">
        <v>918</v>
      </c>
      <c r="E42" s="92"/>
      <c r="F42" s="93"/>
    </row>
    <row r="43" spans="1:6" ht="102">
      <c r="A43" s="57">
        <v>20</v>
      </c>
      <c r="B43" s="185">
        <v>11</v>
      </c>
      <c r="C43" s="95" t="s">
        <v>865</v>
      </c>
      <c r="D43" s="196" t="s">
        <v>918</v>
      </c>
      <c r="E43" s="92"/>
      <c r="F43" s="93"/>
    </row>
    <row r="44" spans="1:6" ht="165.75">
      <c r="A44" s="57">
        <v>82</v>
      </c>
      <c r="B44" s="186">
        <v>12</v>
      </c>
      <c r="C44" s="95" t="s">
        <v>920</v>
      </c>
      <c r="D44" s="196" t="s">
        <v>918</v>
      </c>
      <c r="E44" s="92"/>
      <c r="F44" s="93"/>
    </row>
    <row r="45" spans="1:6" ht="114.75">
      <c r="A45" s="57">
        <v>63</v>
      </c>
      <c r="B45" s="185">
        <v>13</v>
      </c>
      <c r="C45" s="95" t="s">
        <v>489</v>
      </c>
      <c r="D45" s="196" t="s">
        <v>918</v>
      </c>
      <c r="E45" s="92"/>
      <c r="F45" s="93"/>
    </row>
    <row r="46" spans="1:6" ht="76.5">
      <c r="A46" s="57">
        <v>67</v>
      </c>
      <c r="B46" s="186">
        <v>14</v>
      </c>
      <c r="C46" s="95" t="s">
        <v>571</v>
      </c>
      <c r="D46" s="196" t="s">
        <v>918</v>
      </c>
      <c r="E46" s="92"/>
      <c r="F46" s="93"/>
    </row>
    <row r="47" spans="1:6" ht="76.5">
      <c r="A47" s="221"/>
      <c r="B47" s="222">
        <v>15</v>
      </c>
      <c r="C47" s="324" t="s">
        <v>921</v>
      </c>
      <c r="D47" s="196" t="s">
        <v>918</v>
      </c>
      <c r="E47" s="223"/>
      <c r="F47" s="197"/>
    </row>
    <row r="48" spans="1:6" ht="76.5">
      <c r="A48" s="57">
        <v>21</v>
      </c>
      <c r="B48" s="185">
        <v>16</v>
      </c>
      <c r="C48" s="95" t="s">
        <v>651</v>
      </c>
      <c r="D48" s="196" t="s">
        <v>918</v>
      </c>
      <c r="E48" s="92"/>
      <c r="F48" s="93"/>
    </row>
    <row r="49" spans="2:10" ht="13.5" thickBot="1">
      <c r="B49" s="96"/>
      <c r="C49" s="97"/>
      <c r="D49" s="98"/>
      <c r="E49" s="98"/>
      <c r="F49" s="99"/>
    </row>
    <row r="50" spans="2:10">
      <c r="B50" s="32"/>
      <c r="C50" s="35"/>
      <c r="J50" s="33"/>
    </row>
    <row r="51" spans="2:10">
      <c r="B51" s="32"/>
      <c r="C51" s="35"/>
      <c r="J51" s="33"/>
    </row>
    <row r="52" spans="2:10">
      <c r="B52" s="32"/>
      <c r="C52" s="35"/>
      <c r="J52" s="33"/>
    </row>
    <row r="53" spans="2:10" ht="14.25">
      <c r="B53" s="286" t="s">
        <v>706</v>
      </c>
      <c r="C53" s="287"/>
      <c r="D53" s="287"/>
      <c r="E53" s="287"/>
      <c r="F53" s="287"/>
      <c r="G53" s="287"/>
      <c r="H53" s="287"/>
      <c r="I53" s="287"/>
      <c r="J53" s="287"/>
    </row>
    <row r="54" spans="2:10" ht="51">
      <c r="B54" s="28"/>
      <c r="C54" s="28" t="s">
        <v>678</v>
      </c>
      <c r="D54" s="28"/>
      <c r="E54" s="28"/>
      <c r="F54" s="28"/>
      <c r="G54" s="28"/>
      <c r="H54" s="28"/>
      <c r="I54" s="28"/>
      <c r="J54" s="28"/>
    </row>
    <row r="55" spans="2:10">
      <c r="B55" s="32"/>
      <c r="C55" s="35" t="s">
        <v>679</v>
      </c>
      <c r="J55" s="33"/>
    </row>
  </sheetData>
  <mergeCells count="11">
    <mergeCell ref="B9:C9"/>
    <mergeCell ref="B10:C10"/>
    <mergeCell ref="B11:C11"/>
    <mergeCell ref="B53:J53"/>
    <mergeCell ref="B31:F31"/>
    <mergeCell ref="B8:C8"/>
    <mergeCell ref="B2:E2"/>
    <mergeCell ref="B3:C3"/>
    <mergeCell ref="B4:C4"/>
    <mergeCell ref="B6:C6"/>
    <mergeCell ref="B7:C7"/>
  </mergeCells>
  <dataValidations count="1">
    <dataValidation type="list" showInputMessage="1" showErrorMessage="1" sqref="D33:D48">
      <formula1>"TODO NATIVO, NATIVO Y DESARROLLO, DESARROLLO TOTAL"</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rgb="FFFFC000"/>
  </sheetPr>
  <dimension ref="A1:J61"/>
  <sheetViews>
    <sheetView topLeftCell="B39" zoomScale="70" zoomScaleNormal="70" workbookViewId="0">
      <selection activeCell="C52" sqref="C52:C54"/>
    </sheetView>
  </sheetViews>
  <sheetFormatPr defaultRowHeight="12.75"/>
  <cols>
    <col min="1" max="1" width="0" hidden="1" customWidth="1"/>
    <col min="3" max="3" width="75.85546875" customWidth="1"/>
    <col min="4" max="4" width="20.7109375" customWidth="1"/>
    <col min="5" max="5" width="16" customWidth="1"/>
    <col min="6" max="7" width="14.5703125" customWidth="1"/>
    <col min="8" max="8" width="12.140625" customWidth="1"/>
  </cols>
  <sheetData>
    <row r="1" spans="2:10" ht="13.5" thickBot="1">
      <c r="B1" s="32"/>
      <c r="C1" s="35"/>
      <c r="J1" s="33"/>
    </row>
    <row r="2" spans="2:10" ht="15" thickBot="1">
      <c r="B2" s="281" t="s">
        <v>718</v>
      </c>
      <c r="C2" s="282"/>
      <c r="D2" s="282"/>
      <c r="E2" s="283"/>
      <c r="F2" s="82"/>
      <c r="J2" s="33"/>
    </row>
    <row r="3" spans="2:10">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76.5">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c r="B12" s="32"/>
      <c r="C12" s="35"/>
      <c r="J12" s="33"/>
    </row>
    <row r="13" spans="2:10" ht="14.25">
      <c r="B13" s="286" t="s">
        <v>704</v>
      </c>
      <c r="C13" s="287"/>
      <c r="D13" s="287"/>
      <c r="E13" s="287"/>
      <c r="F13" s="287"/>
      <c r="G13" s="287"/>
      <c r="H13" s="287"/>
      <c r="I13" s="287"/>
      <c r="J13" s="287"/>
    </row>
    <row r="14" spans="2:10">
      <c r="B14" s="31" t="s">
        <v>257</v>
      </c>
      <c r="C14" s="28" t="s">
        <v>727</v>
      </c>
      <c r="J14" s="33"/>
    </row>
    <row r="15" spans="2:10">
      <c r="B15" s="32" t="s">
        <v>103</v>
      </c>
      <c r="C15" t="s">
        <v>728</v>
      </c>
      <c r="J15" s="33"/>
    </row>
    <row r="16" spans="2:10">
      <c r="B16" s="32" t="s">
        <v>104</v>
      </c>
      <c r="C16" t="s">
        <v>730</v>
      </c>
      <c r="J16" s="33"/>
    </row>
    <row r="17" spans="1:10">
      <c r="B17" s="32" t="s">
        <v>105</v>
      </c>
      <c r="C17" t="s">
        <v>729</v>
      </c>
      <c r="J17" s="33"/>
    </row>
    <row r="18" spans="1:10">
      <c r="B18" t="s">
        <v>106</v>
      </c>
      <c r="C18" t="s">
        <v>732</v>
      </c>
      <c r="J18" s="33"/>
    </row>
    <row r="19" spans="1:10" hidden="1">
      <c r="J19" s="33"/>
    </row>
    <row r="20" spans="1:10" hidden="1">
      <c r="J20" s="33"/>
    </row>
    <row r="21" spans="1:10" hidden="1">
      <c r="J21" s="33"/>
    </row>
    <row r="22" spans="1:10" hidden="1">
      <c r="J22" s="33"/>
    </row>
    <row r="23" spans="1:10" hidden="1">
      <c r="J23" s="33"/>
    </row>
    <row r="24" spans="1:10" hidden="1">
      <c r="J24" s="33"/>
    </row>
    <row r="25" spans="1:10" hidden="1">
      <c r="J25" s="33"/>
    </row>
    <row r="26" spans="1:10" hidden="1">
      <c r="J26" s="33"/>
    </row>
    <row r="27" spans="1:10" hidden="1">
      <c r="J27" s="33"/>
    </row>
    <row r="28" spans="1:10" hidden="1">
      <c r="J28" s="33"/>
    </row>
    <row r="29" spans="1:10">
      <c r="J29" s="33"/>
    </row>
    <row r="30" spans="1:10" ht="13.5" thickBot="1">
      <c r="B30" s="224">
        <f>COUNT(B32:B288)</f>
        <v>19</v>
      </c>
      <c r="J30" s="33"/>
    </row>
    <row r="31" spans="1:10" ht="25.5">
      <c r="A31" s="55" t="s">
        <v>97</v>
      </c>
      <c r="B31" s="103" t="s">
        <v>896</v>
      </c>
      <c r="C31" s="104" t="s">
        <v>96</v>
      </c>
      <c r="D31" s="105" t="s">
        <v>917</v>
      </c>
      <c r="E31" s="106" t="s">
        <v>98</v>
      </c>
      <c r="F31" s="107" t="s">
        <v>709</v>
      </c>
    </row>
    <row r="32" spans="1:10">
      <c r="B32" s="100"/>
      <c r="C32" s="101" t="s">
        <v>728</v>
      </c>
      <c r="D32" s="167"/>
      <c r="E32" s="101"/>
      <c r="F32" s="108"/>
    </row>
    <row r="33" spans="2:6" ht="45">
      <c r="B33" s="194">
        <v>1</v>
      </c>
      <c r="C33" s="325" t="s">
        <v>682</v>
      </c>
      <c r="D33" s="196" t="s">
        <v>918</v>
      </c>
      <c r="E33" s="110"/>
      <c r="F33" s="93"/>
    </row>
    <row r="34" spans="2:6" ht="30">
      <c r="B34" s="194">
        <v>2</v>
      </c>
      <c r="C34" s="325" t="s">
        <v>900</v>
      </c>
      <c r="D34" s="196" t="s">
        <v>918</v>
      </c>
      <c r="E34" s="110"/>
      <c r="F34" s="93"/>
    </row>
    <row r="35" spans="2:6" ht="30">
      <c r="B35" s="194">
        <v>3</v>
      </c>
      <c r="C35" s="325" t="s">
        <v>671</v>
      </c>
      <c r="D35" s="196" t="s">
        <v>918</v>
      </c>
      <c r="E35" s="110"/>
      <c r="F35" s="93"/>
    </row>
    <row r="36" spans="2:6" ht="49.5" customHeight="1">
      <c r="B36" s="194">
        <v>4</v>
      </c>
      <c r="C36" s="325" t="s">
        <v>906</v>
      </c>
      <c r="D36" s="196" t="s">
        <v>918</v>
      </c>
      <c r="E36" s="110"/>
      <c r="F36" s="93"/>
    </row>
    <row r="37" spans="2:6" ht="45">
      <c r="B37" s="194">
        <v>5</v>
      </c>
      <c r="C37" s="326" t="s">
        <v>859</v>
      </c>
      <c r="D37" s="196" t="s">
        <v>918</v>
      </c>
      <c r="E37" s="147"/>
      <c r="F37" s="150"/>
    </row>
    <row r="38" spans="2:6" ht="45">
      <c r="B38" s="196">
        <v>6</v>
      </c>
      <c r="C38" s="326" t="s">
        <v>907</v>
      </c>
      <c r="D38" s="196" t="s">
        <v>918</v>
      </c>
      <c r="E38" s="170"/>
      <c r="F38" s="197"/>
    </row>
    <row r="39" spans="2:6">
      <c r="B39" s="101"/>
      <c r="C39" s="101" t="s">
        <v>905</v>
      </c>
      <c r="D39" s="101"/>
      <c r="E39" s="101"/>
      <c r="F39" s="108"/>
    </row>
    <row r="40" spans="2:6" s="64" customFormat="1" ht="30">
      <c r="B40" s="194">
        <v>11</v>
      </c>
      <c r="C40" s="109" t="s">
        <v>672</v>
      </c>
      <c r="D40" s="196" t="s">
        <v>918</v>
      </c>
      <c r="E40" s="111"/>
      <c r="F40" s="112"/>
    </row>
    <row r="41" spans="2:6" s="64" customFormat="1" ht="45">
      <c r="B41" s="194">
        <v>12</v>
      </c>
      <c r="C41" s="109" t="s">
        <v>673</v>
      </c>
      <c r="D41" s="196" t="s">
        <v>918</v>
      </c>
      <c r="E41" s="111"/>
      <c r="F41" s="112"/>
    </row>
    <row r="42" spans="2:6" s="64" customFormat="1" ht="15">
      <c r="B42" s="194">
        <v>13</v>
      </c>
      <c r="C42" s="109" t="s">
        <v>674</v>
      </c>
      <c r="D42" s="196" t="s">
        <v>918</v>
      </c>
      <c r="E42" s="111"/>
      <c r="F42" s="112"/>
    </row>
    <row r="43" spans="2:6" s="64" customFormat="1" ht="45">
      <c r="B43" s="194">
        <v>14</v>
      </c>
      <c r="C43" s="109" t="s">
        <v>683</v>
      </c>
      <c r="D43" s="196" t="s">
        <v>918</v>
      </c>
      <c r="E43" s="111"/>
      <c r="F43" s="112"/>
    </row>
    <row r="44" spans="2:6" s="64" customFormat="1" ht="45">
      <c r="B44" s="194">
        <v>15</v>
      </c>
      <c r="C44" s="109" t="s">
        <v>675</v>
      </c>
      <c r="D44" s="196" t="s">
        <v>918</v>
      </c>
      <c r="E44" s="111"/>
      <c r="F44" s="112"/>
    </row>
    <row r="45" spans="2:6">
      <c r="B45" s="195"/>
      <c r="C45" s="101" t="s">
        <v>729</v>
      </c>
      <c r="D45" s="101"/>
      <c r="E45" s="101"/>
      <c r="F45" s="108"/>
    </row>
    <row r="46" spans="2:6" ht="25.5">
      <c r="B46" s="194">
        <v>16</v>
      </c>
      <c r="C46" s="111" t="s">
        <v>731</v>
      </c>
      <c r="D46" s="196" t="s">
        <v>918</v>
      </c>
      <c r="E46" s="110"/>
      <c r="F46" s="93"/>
    </row>
    <row r="47" spans="2:6" ht="25.5">
      <c r="B47" s="194">
        <v>17</v>
      </c>
      <c r="C47" s="111" t="s">
        <v>514</v>
      </c>
      <c r="D47" s="196" t="s">
        <v>918</v>
      </c>
      <c r="E47" s="110"/>
      <c r="F47" s="93"/>
    </row>
    <row r="48" spans="2:6">
      <c r="B48" s="194">
        <v>18</v>
      </c>
      <c r="C48" s="111" t="s">
        <v>676</v>
      </c>
      <c r="D48" s="196" t="s">
        <v>918</v>
      </c>
      <c r="E48" s="110"/>
      <c r="F48" s="93"/>
    </row>
    <row r="49" spans="2:10" ht="25.5">
      <c r="B49" s="194">
        <v>19</v>
      </c>
      <c r="C49" s="111" t="s">
        <v>677</v>
      </c>
      <c r="D49" s="196" t="s">
        <v>918</v>
      </c>
      <c r="E49" s="110"/>
      <c r="F49" s="93"/>
    </row>
    <row r="50" spans="2:10" ht="38.25">
      <c r="B50" s="194">
        <v>20</v>
      </c>
      <c r="C50" s="111" t="s">
        <v>910</v>
      </c>
      <c r="D50" s="196" t="s">
        <v>918</v>
      </c>
      <c r="E50" s="110"/>
      <c r="F50" s="93"/>
    </row>
    <row r="51" spans="2:10">
      <c r="B51" s="195"/>
      <c r="C51" s="101" t="s">
        <v>732</v>
      </c>
      <c r="D51" s="101"/>
      <c r="E51" s="101"/>
      <c r="F51" s="108"/>
    </row>
    <row r="52" spans="2:10" s="64" customFormat="1" ht="38.25">
      <c r="B52" s="194">
        <v>33</v>
      </c>
      <c r="C52" s="327" t="s">
        <v>890</v>
      </c>
      <c r="D52" s="196" t="s">
        <v>918</v>
      </c>
      <c r="E52" s="147"/>
      <c r="F52" s="148"/>
    </row>
    <row r="53" spans="2:10" ht="38.25">
      <c r="B53" s="194">
        <v>34</v>
      </c>
      <c r="C53" s="328" t="s">
        <v>868</v>
      </c>
      <c r="D53" s="196" t="s">
        <v>918</v>
      </c>
      <c r="F53" s="112"/>
    </row>
    <row r="54" spans="2:10" ht="76.5">
      <c r="B54" s="194">
        <v>35</v>
      </c>
      <c r="C54" s="328" t="s">
        <v>867</v>
      </c>
      <c r="D54" s="196" t="s">
        <v>918</v>
      </c>
      <c r="F54" s="112"/>
    </row>
    <row r="55" spans="2:10" ht="13.5" thickBot="1">
      <c r="B55" s="96"/>
      <c r="C55" s="97"/>
      <c r="D55" s="98"/>
      <c r="E55" s="98"/>
      <c r="F55" s="99"/>
    </row>
    <row r="56" spans="2:10">
      <c r="B56" s="32"/>
      <c r="C56" s="35"/>
      <c r="J56" s="33"/>
    </row>
    <row r="57" spans="2:10">
      <c r="B57" s="32"/>
      <c r="C57" s="35"/>
      <c r="J57" s="33"/>
    </row>
    <row r="58" spans="2:10">
      <c r="B58" s="32"/>
      <c r="C58" s="35"/>
      <c r="J58" s="33"/>
    </row>
    <row r="59" spans="2:10" ht="14.25">
      <c r="B59" s="286" t="s">
        <v>706</v>
      </c>
      <c r="C59" s="287"/>
      <c r="D59" s="287"/>
      <c r="E59" s="287"/>
      <c r="F59" s="287"/>
      <c r="G59" s="287"/>
      <c r="H59" s="287"/>
      <c r="I59" s="287"/>
      <c r="J59" s="287"/>
    </row>
    <row r="60" spans="2:10" ht="25.5">
      <c r="B60" s="28"/>
      <c r="C60" s="28" t="s">
        <v>678</v>
      </c>
      <c r="D60" s="28"/>
      <c r="E60" s="28"/>
      <c r="F60" s="28"/>
      <c r="G60" s="28"/>
      <c r="H60" s="28"/>
      <c r="I60" s="28"/>
      <c r="J60" s="28"/>
    </row>
    <row r="61" spans="2:10">
      <c r="B61" s="32"/>
      <c r="C61" s="35" t="s">
        <v>679</v>
      </c>
      <c r="J61" s="33"/>
    </row>
  </sheetData>
  <mergeCells count="11">
    <mergeCell ref="B9:C9"/>
    <mergeCell ref="B10:C10"/>
    <mergeCell ref="B11:C11"/>
    <mergeCell ref="B13:J13"/>
    <mergeCell ref="B59:J59"/>
    <mergeCell ref="B8:C8"/>
    <mergeCell ref="B2:E2"/>
    <mergeCell ref="B3:C3"/>
    <mergeCell ref="B4:C4"/>
    <mergeCell ref="B6:C6"/>
    <mergeCell ref="B7:C7"/>
  </mergeCells>
  <dataValidations count="1">
    <dataValidation type="list" showInputMessage="1" showErrorMessage="1" sqref="D33:D38 D40:D44 D46:D50 D52:D54">
      <formula1>"TODO NATIVO, NATIVO Y DESARROLLO, DESARROLLO TOTAL"</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sheetPr>
    <tabColor rgb="FFFFC000"/>
  </sheetPr>
  <dimension ref="B1:J46"/>
  <sheetViews>
    <sheetView topLeftCell="A36" zoomScale="90" zoomScaleNormal="90" workbookViewId="0">
      <selection activeCell="A47" sqref="A47"/>
    </sheetView>
  </sheetViews>
  <sheetFormatPr defaultRowHeight="12.75"/>
  <cols>
    <col min="1" max="1" width="2.42578125" customWidth="1"/>
    <col min="2" max="2" width="5.85546875" customWidth="1"/>
    <col min="3" max="3" width="51.5703125" customWidth="1"/>
    <col min="4" max="4" width="20.85546875" customWidth="1"/>
    <col min="5" max="5" width="14.5703125" customWidth="1"/>
    <col min="6" max="6" width="11.28515625" customWidth="1"/>
    <col min="7" max="7" width="11" customWidth="1"/>
    <col min="8" max="8" width="10.85546875" customWidth="1"/>
    <col min="9" max="9" width="13.42578125" bestFit="1" customWidth="1"/>
    <col min="10" max="10" width="11.5703125" bestFit="1"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25.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2:10" ht="13.5" hidden="1" customHeight="1">
      <c r="B17" s="207"/>
      <c r="C17" s="207"/>
      <c r="D17" s="79"/>
      <c r="E17" s="208"/>
      <c r="F17" s="79"/>
      <c r="G17" s="208"/>
      <c r="H17" s="79"/>
      <c r="J17" s="33"/>
    </row>
    <row r="18" spans="2:10" ht="13.5" hidden="1" customHeight="1">
      <c r="B18" s="207"/>
      <c r="C18" s="207"/>
      <c r="D18" s="79"/>
      <c r="E18" s="208"/>
      <c r="F18" s="79"/>
      <c r="G18" s="208"/>
      <c r="H18" s="79"/>
      <c r="J18" s="33"/>
    </row>
    <row r="19" spans="2:10" ht="13.5" hidden="1" customHeight="1">
      <c r="B19" s="207"/>
      <c r="C19" s="207"/>
      <c r="D19" s="79"/>
      <c r="E19" s="208"/>
      <c r="F19" s="79"/>
      <c r="G19" s="208"/>
      <c r="H19" s="79"/>
      <c r="J19" s="33"/>
    </row>
    <row r="20" spans="2:10" ht="13.5" hidden="1" customHeight="1">
      <c r="B20" s="207"/>
      <c r="C20" s="207"/>
      <c r="D20" s="79"/>
      <c r="E20" s="208"/>
      <c r="F20" s="79"/>
      <c r="G20" s="208"/>
      <c r="H20" s="79"/>
      <c r="J20" s="33"/>
    </row>
    <row r="21" spans="2:10" ht="13.5" hidden="1" customHeight="1">
      <c r="B21" s="207"/>
      <c r="C21" s="207"/>
      <c r="D21" s="79"/>
      <c r="E21" s="208"/>
      <c r="F21" s="79"/>
      <c r="G21" s="208"/>
      <c r="H21" s="79"/>
      <c r="J21" s="33"/>
    </row>
    <row r="22" spans="2:10" ht="13.5" hidden="1" customHeight="1">
      <c r="B22" s="207"/>
      <c r="C22" s="207"/>
      <c r="D22" s="79"/>
      <c r="E22" s="208"/>
      <c r="F22" s="79"/>
      <c r="G22" s="208"/>
      <c r="H22" s="79"/>
      <c r="J22" s="33"/>
    </row>
    <row r="23" spans="2:10" ht="13.5" hidden="1" customHeight="1">
      <c r="B23" s="207"/>
      <c r="C23" s="207"/>
      <c r="D23" s="79"/>
      <c r="E23" s="208"/>
      <c r="F23" s="79"/>
      <c r="G23" s="208"/>
      <c r="H23" s="79"/>
      <c r="J23" s="33"/>
    </row>
    <row r="24" spans="2:10" ht="13.5" hidden="1" customHeight="1">
      <c r="B24" s="207"/>
      <c r="C24" s="207"/>
      <c r="D24" s="79"/>
      <c r="E24" s="208"/>
      <c r="F24" s="79"/>
      <c r="G24" s="208"/>
      <c r="H24" s="79"/>
      <c r="J24" s="33"/>
    </row>
    <row r="25" spans="2:10" ht="13.5" hidden="1" customHeight="1">
      <c r="B25" s="207"/>
      <c r="C25" s="207"/>
      <c r="D25" s="79"/>
      <c r="E25" s="208"/>
      <c r="F25" s="79"/>
      <c r="G25" s="208"/>
      <c r="H25" s="79"/>
      <c r="J25" s="33"/>
    </row>
    <row r="26" spans="2:10" ht="13.5" hidden="1" customHeight="1">
      <c r="B26" s="207"/>
      <c r="C26" s="207"/>
      <c r="D26" s="79"/>
      <c r="E26" s="208"/>
      <c r="F26" s="79"/>
      <c r="G26" s="208"/>
      <c r="H26" s="79"/>
      <c r="J26" s="33"/>
    </row>
    <row r="27" spans="2:10" ht="13.5" hidden="1" customHeight="1">
      <c r="B27" s="207"/>
      <c r="C27" s="207"/>
      <c r="D27" s="79"/>
      <c r="E27" s="208"/>
      <c r="F27" s="79"/>
      <c r="G27" s="208"/>
      <c r="H27" s="79"/>
      <c r="J27" s="33"/>
    </row>
    <row r="28" spans="2:10" ht="13.5" hidden="1" customHeight="1">
      <c r="B28" s="207"/>
      <c r="C28" s="207"/>
      <c r="D28" s="79"/>
      <c r="E28" s="208"/>
      <c r="F28" s="79"/>
      <c r="G28" s="208"/>
      <c r="H28" s="79"/>
      <c r="J28" s="33"/>
    </row>
    <row r="29" spans="2:10" ht="13.5" hidden="1" customHeight="1">
      <c r="B29" s="207"/>
      <c r="C29" s="207"/>
      <c r="D29" s="79"/>
      <c r="E29" s="208"/>
      <c r="F29" s="79"/>
      <c r="G29" s="208"/>
      <c r="H29" s="79"/>
      <c r="J29" s="33"/>
    </row>
    <row r="30" spans="2:10" ht="13.5" thickBot="1">
      <c r="B30" s="224">
        <f>COUNT(B32:B300)</f>
        <v>7</v>
      </c>
      <c r="C30" s="35"/>
      <c r="J30" s="33"/>
    </row>
    <row r="31" spans="2:10" ht="14.25" customHeight="1" thickBot="1">
      <c r="B31" s="292" t="s">
        <v>704</v>
      </c>
      <c r="C31" s="293"/>
      <c r="D31" s="293"/>
      <c r="E31" s="293"/>
      <c r="F31" s="293"/>
    </row>
    <row r="32" spans="2:10" ht="25.5">
      <c r="B32" s="87"/>
      <c r="C32" s="88" t="s">
        <v>96</v>
      </c>
      <c r="D32" s="105" t="s">
        <v>917</v>
      </c>
      <c r="E32" s="89" t="s">
        <v>98</v>
      </c>
      <c r="F32" s="90" t="s">
        <v>709</v>
      </c>
    </row>
    <row r="33" spans="2:10" ht="51">
      <c r="B33" s="185">
        <v>1</v>
      </c>
      <c r="C33" s="91" t="s">
        <v>121</v>
      </c>
      <c r="D33" s="196" t="s">
        <v>918</v>
      </c>
      <c r="E33" s="92"/>
      <c r="F33" s="94"/>
    </row>
    <row r="34" spans="2:10" ht="63.75">
      <c r="B34" s="185">
        <v>2</v>
      </c>
      <c r="C34" s="91" t="s">
        <v>734</v>
      </c>
      <c r="D34" s="196" t="s">
        <v>918</v>
      </c>
      <c r="E34" s="92"/>
      <c r="F34" s="94"/>
    </row>
    <row r="35" spans="2:10" ht="63.75">
      <c r="B35" s="185">
        <v>3</v>
      </c>
      <c r="C35" s="91" t="s">
        <v>595</v>
      </c>
      <c r="D35" s="196" t="s">
        <v>918</v>
      </c>
      <c r="E35" s="92"/>
      <c r="F35" s="94"/>
    </row>
    <row r="36" spans="2:10" ht="76.5">
      <c r="B36" s="185">
        <v>4</v>
      </c>
      <c r="C36" s="91" t="s">
        <v>569</v>
      </c>
      <c r="D36" s="196" t="s">
        <v>918</v>
      </c>
      <c r="E36" s="92"/>
      <c r="F36" s="93"/>
    </row>
    <row r="37" spans="2:10" ht="76.5">
      <c r="B37" s="185">
        <v>5</v>
      </c>
      <c r="C37" s="91" t="s">
        <v>594</v>
      </c>
      <c r="D37" s="196" t="s">
        <v>918</v>
      </c>
      <c r="E37" s="92"/>
      <c r="F37" s="93"/>
    </row>
    <row r="38" spans="2:10" ht="38.25">
      <c r="B38" s="185">
        <v>6</v>
      </c>
      <c r="C38" s="91" t="s">
        <v>613</v>
      </c>
      <c r="D38" s="196" t="s">
        <v>918</v>
      </c>
      <c r="E38" s="92"/>
      <c r="F38" s="93"/>
    </row>
    <row r="39" spans="2:10" ht="38.25">
      <c r="B39" s="185">
        <v>7</v>
      </c>
      <c r="C39" s="126" t="s">
        <v>570</v>
      </c>
      <c r="D39" s="196" t="s">
        <v>918</v>
      </c>
      <c r="E39" s="119"/>
      <c r="F39" s="125"/>
    </row>
    <row r="40" spans="2:10" ht="13.5" thickBot="1">
      <c r="B40" s="96"/>
      <c r="C40" s="97"/>
      <c r="D40" s="98"/>
      <c r="E40" s="98"/>
      <c r="F40" s="99"/>
    </row>
    <row r="41" spans="2:10">
      <c r="B41" s="32"/>
      <c r="C41" s="35"/>
      <c r="J41" s="33"/>
    </row>
    <row r="42" spans="2:10">
      <c r="B42" s="32"/>
      <c r="C42" s="35"/>
      <c r="J42" s="33"/>
    </row>
    <row r="43" spans="2:10">
      <c r="B43" s="32"/>
      <c r="C43" s="35"/>
      <c r="J43" s="33"/>
    </row>
    <row r="44" spans="2:10" ht="14.25">
      <c r="B44" s="286" t="s">
        <v>706</v>
      </c>
      <c r="C44" s="287"/>
      <c r="D44" s="287"/>
      <c r="E44" s="287"/>
      <c r="F44" s="287"/>
      <c r="G44" s="287"/>
      <c r="H44" s="287"/>
      <c r="I44" s="287"/>
      <c r="J44" s="287"/>
    </row>
    <row r="45" spans="2:10" ht="38.25">
      <c r="B45" s="28"/>
      <c r="C45" s="28" t="s">
        <v>678</v>
      </c>
      <c r="D45" s="28"/>
      <c r="E45" s="28"/>
      <c r="F45" s="28"/>
      <c r="G45" s="28"/>
      <c r="H45" s="28"/>
      <c r="I45" s="28"/>
      <c r="J45" s="28"/>
    </row>
    <row r="46" spans="2:10">
      <c r="B46" s="32"/>
      <c r="C46" s="35" t="s">
        <v>679</v>
      </c>
      <c r="J46" s="33"/>
    </row>
  </sheetData>
  <mergeCells count="11">
    <mergeCell ref="B9:C9"/>
    <mergeCell ref="B10:C10"/>
    <mergeCell ref="B11:C11"/>
    <mergeCell ref="B44:J44"/>
    <mergeCell ref="B31:F31"/>
    <mergeCell ref="B8:C8"/>
    <mergeCell ref="B2:E2"/>
    <mergeCell ref="B3:C3"/>
    <mergeCell ref="B4:C4"/>
    <mergeCell ref="B6:C6"/>
    <mergeCell ref="B7:C7"/>
  </mergeCells>
  <dataValidations count="1">
    <dataValidation type="list" showInputMessage="1" showErrorMessage="1" sqref="D33:D39">
      <formula1>"TODO NATIVO, NATIVO Y DESARROLLO, DESARROLLO TOTAL"</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rgb="FFFFC000"/>
  </sheetPr>
  <dimension ref="A1:J57"/>
  <sheetViews>
    <sheetView topLeftCell="A3" zoomScale="90" zoomScaleNormal="90" workbookViewId="0">
      <selection activeCell="B3" sqref="B3:C3"/>
    </sheetView>
  </sheetViews>
  <sheetFormatPr defaultRowHeight="12.75"/>
  <cols>
    <col min="1" max="1" width="2.7109375" customWidth="1"/>
    <col min="2" max="2" width="9.140625" customWidth="1"/>
    <col min="3" max="3" width="54" customWidth="1"/>
    <col min="4" max="4" width="21" bestFit="1" customWidth="1"/>
    <col min="5" max="5" width="13.140625" customWidth="1"/>
    <col min="6" max="6" width="11" customWidth="1"/>
    <col min="7" max="7" width="11.28515625" customWidth="1"/>
    <col min="8" max="8" width="11.5703125" customWidth="1"/>
    <col min="9" max="9" width="12.85546875" customWidth="1"/>
    <col min="10" max="10" width="10.140625"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38.2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1:10" ht="13.5" hidden="1" customHeight="1">
      <c r="B17" s="207"/>
      <c r="C17" s="207"/>
      <c r="D17" s="79"/>
      <c r="E17" s="208"/>
      <c r="F17" s="79"/>
      <c r="G17" s="208"/>
      <c r="H17" s="79"/>
      <c r="J17" s="33"/>
    </row>
    <row r="18" spans="1:10" ht="13.5" hidden="1" customHeight="1">
      <c r="B18" s="207"/>
      <c r="C18" s="207"/>
      <c r="D18" s="79"/>
      <c r="E18" s="208"/>
      <c r="F18" s="79"/>
      <c r="G18" s="208"/>
      <c r="H18" s="79"/>
      <c r="J18" s="33"/>
    </row>
    <row r="19" spans="1:10" ht="13.5" hidden="1" customHeight="1">
      <c r="B19" s="207"/>
      <c r="C19" s="207"/>
      <c r="D19" s="79"/>
      <c r="E19" s="208"/>
      <c r="F19" s="79"/>
      <c r="G19" s="208"/>
      <c r="H19" s="79"/>
      <c r="J19" s="33"/>
    </row>
    <row r="20" spans="1:10" ht="13.5" hidden="1" customHeight="1">
      <c r="B20" s="207"/>
      <c r="C20" s="207"/>
      <c r="D20" s="79"/>
      <c r="E20" s="208"/>
      <c r="F20" s="79"/>
      <c r="G20" s="208"/>
      <c r="H20" s="79"/>
      <c r="J20" s="33"/>
    </row>
    <row r="21" spans="1:10" ht="13.5" hidden="1" customHeight="1">
      <c r="B21" s="207"/>
      <c r="C21" s="207"/>
      <c r="D21" s="79"/>
      <c r="E21" s="208"/>
      <c r="F21" s="79"/>
      <c r="G21" s="208"/>
      <c r="H21" s="79"/>
      <c r="J21" s="33"/>
    </row>
    <row r="22" spans="1:10" ht="13.5" hidden="1" customHeight="1">
      <c r="B22" s="207"/>
      <c r="C22" s="207"/>
      <c r="D22" s="79"/>
      <c r="E22" s="208"/>
      <c r="F22" s="79"/>
      <c r="G22" s="208"/>
      <c r="H22" s="79"/>
      <c r="J22" s="33"/>
    </row>
    <row r="23" spans="1:10" ht="13.5" hidden="1" customHeight="1">
      <c r="B23" s="207"/>
      <c r="C23" s="207"/>
      <c r="D23" s="79"/>
      <c r="E23" s="208"/>
      <c r="F23" s="79"/>
      <c r="G23" s="208"/>
      <c r="H23" s="79"/>
      <c r="J23" s="33"/>
    </row>
    <row r="24" spans="1:10" ht="13.5" hidden="1" customHeight="1">
      <c r="B24" s="207"/>
      <c r="C24" s="207"/>
      <c r="D24" s="79"/>
      <c r="E24" s="208"/>
      <c r="F24" s="79"/>
      <c r="G24" s="208"/>
      <c r="H24" s="79"/>
      <c r="J24" s="33"/>
    </row>
    <row r="25" spans="1:10" ht="13.5" hidden="1" customHeight="1">
      <c r="B25" s="207"/>
      <c r="C25" s="207"/>
      <c r="D25" s="79"/>
      <c r="E25" s="208"/>
      <c r="F25" s="79"/>
      <c r="G25" s="208"/>
      <c r="H25" s="79"/>
      <c r="J25" s="33"/>
    </row>
    <row r="26" spans="1:10" ht="13.5" hidden="1" customHeight="1">
      <c r="B26" s="207"/>
      <c r="C26" s="207"/>
      <c r="D26" s="79"/>
      <c r="E26" s="208"/>
      <c r="F26" s="79"/>
      <c r="G26" s="208"/>
      <c r="H26" s="79"/>
      <c r="J26" s="33"/>
    </row>
    <row r="27" spans="1:10" ht="13.5" hidden="1" customHeight="1">
      <c r="B27" s="207"/>
      <c r="C27" s="207"/>
      <c r="D27" s="79"/>
      <c r="E27" s="208"/>
      <c r="F27" s="79"/>
      <c r="G27" s="208"/>
      <c r="H27" s="79"/>
      <c r="J27" s="33"/>
    </row>
    <row r="28" spans="1:10" ht="13.5" hidden="1" customHeight="1">
      <c r="B28" s="207"/>
      <c r="C28" s="207"/>
      <c r="D28" s="79"/>
      <c r="E28" s="208"/>
      <c r="F28" s="79"/>
      <c r="G28" s="208"/>
      <c r="H28" s="79"/>
      <c r="J28" s="33"/>
    </row>
    <row r="29" spans="1:10" ht="13.5" hidden="1" customHeight="1">
      <c r="B29" s="207"/>
      <c r="C29" s="207"/>
      <c r="D29" s="79"/>
      <c r="E29" s="208"/>
      <c r="F29" s="79"/>
      <c r="G29" s="208"/>
      <c r="H29" s="79"/>
      <c r="J29" s="33"/>
    </row>
    <row r="30" spans="1:10" ht="13.5" thickBot="1">
      <c r="B30" s="224">
        <f>COUNT(B32:B300)</f>
        <v>18</v>
      </c>
      <c r="C30" s="35"/>
      <c r="J30" s="33"/>
    </row>
    <row r="31" spans="1:10" ht="14.25" customHeight="1" thickBot="1">
      <c r="B31" s="292" t="s">
        <v>704</v>
      </c>
      <c r="C31" s="293"/>
      <c r="D31" s="293"/>
      <c r="E31" s="293"/>
      <c r="F31" s="293"/>
    </row>
    <row r="32" spans="1:10" ht="25.5">
      <c r="A32" s="86"/>
      <c r="B32" s="87"/>
      <c r="C32" s="88" t="s">
        <v>96</v>
      </c>
      <c r="D32" s="105" t="s">
        <v>917</v>
      </c>
      <c r="E32" s="89" t="s">
        <v>98</v>
      </c>
      <c r="F32" s="90" t="s">
        <v>709</v>
      </c>
    </row>
    <row r="33" spans="1:6" ht="51">
      <c r="A33" s="86"/>
      <c r="B33" s="185">
        <v>1</v>
      </c>
      <c r="C33" s="95" t="s">
        <v>127</v>
      </c>
      <c r="D33" s="196" t="s">
        <v>918</v>
      </c>
      <c r="E33" s="92"/>
      <c r="F33" s="93"/>
    </row>
    <row r="34" spans="1:6" ht="51">
      <c r="A34" s="86"/>
      <c r="B34" s="185">
        <v>2</v>
      </c>
      <c r="C34" s="95" t="s">
        <v>491</v>
      </c>
      <c r="D34" s="196" t="s">
        <v>918</v>
      </c>
      <c r="E34" s="92"/>
      <c r="F34" s="93"/>
    </row>
    <row r="35" spans="1:6" ht="38.25">
      <c r="A35" s="86"/>
      <c r="B35" s="185">
        <v>3</v>
      </c>
      <c r="C35" s="95" t="s">
        <v>296</v>
      </c>
      <c r="D35" s="196" t="s">
        <v>918</v>
      </c>
      <c r="E35" s="92"/>
      <c r="F35" s="93"/>
    </row>
    <row r="36" spans="1:6" ht="51">
      <c r="A36" s="86"/>
      <c r="B36" s="185">
        <v>4</v>
      </c>
      <c r="C36" s="95" t="s">
        <v>512</v>
      </c>
      <c r="D36" s="196" t="s">
        <v>918</v>
      </c>
      <c r="E36" s="92"/>
      <c r="F36" s="94"/>
    </row>
    <row r="37" spans="1:6" ht="63.75">
      <c r="A37" s="86"/>
      <c r="B37" s="185">
        <v>5</v>
      </c>
      <c r="C37" s="95" t="s">
        <v>631</v>
      </c>
      <c r="D37" s="196" t="s">
        <v>918</v>
      </c>
      <c r="E37" s="92"/>
      <c r="F37" s="94"/>
    </row>
    <row r="38" spans="1:6" ht="63.75">
      <c r="A38" s="86"/>
      <c r="B38" s="185">
        <v>6</v>
      </c>
      <c r="C38" s="95" t="s">
        <v>547</v>
      </c>
      <c r="D38" s="196" t="s">
        <v>918</v>
      </c>
      <c r="E38" s="92"/>
      <c r="F38" s="93"/>
    </row>
    <row r="39" spans="1:6" ht="51">
      <c r="A39" s="86"/>
      <c r="B39" s="185">
        <v>7</v>
      </c>
      <c r="C39" s="115" t="s">
        <v>564</v>
      </c>
      <c r="D39" s="196" t="s">
        <v>918</v>
      </c>
      <c r="E39" s="92"/>
      <c r="F39" s="94"/>
    </row>
    <row r="40" spans="1:6" ht="63.75">
      <c r="A40" s="86"/>
      <c r="B40" s="185">
        <v>8</v>
      </c>
      <c r="C40" s="115" t="s">
        <v>563</v>
      </c>
      <c r="D40" s="196" t="s">
        <v>918</v>
      </c>
      <c r="E40" s="92"/>
      <c r="F40" s="93"/>
    </row>
    <row r="41" spans="1:6" ht="114.75">
      <c r="A41" s="86"/>
      <c r="B41" s="185">
        <v>9</v>
      </c>
      <c r="C41" s="95" t="s">
        <v>519</v>
      </c>
      <c r="D41" s="196" t="s">
        <v>918</v>
      </c>
      <c r="E41" s="92"/>
      <c r="F41" s="94"/>
    </row>
    <row r="42" spans="1:6" ht="127.5">
      <c r="A42" s="86"/>
      <c r="B42" s="185">
        <v>10</v>
      </c>
      <c r="C42" s="95" t="s">
        <v>591</v>
      </c>
      <c r="D42" s="196" t="s">
        <v>918</v>
      </c>
      <c r="E42" s="92"/>
      <c r="F42" s="94"/>
    </row>
    <row r="43" spans="1:6" ht="89.25">
      <c r="A43" s="86"/>
      <c r="B43" s="185">
        <v>11</v>
      </c>
      <c r="C43" s="95" t="s">
        <v>138</v>
      </c>
      <c r="D43" s="196" t="s">
        <v>918</v>
      </c>
      <c r="E43" s="92"/>
      <c r="F43" s="93"/>
    </row>
    <row r="44" spans="1:6" ht="51">
      <c r="A44" s="86"/>
      <c r="B44" s="185">
        <v>12</v>
      </c>
      <c r="C44" s="95" t="s">
        <v>137</v>
      </c>
      <c r="D44" s="196" t="s">
        <v>918</v>
      </c>
      <c r="E44" s="92"/>
      <c r="F44" s="93"/>
    </row>
    <row r="45" spans="1:6" ht="51">
      <c r="A45" s="86"/>
      <c r="B45" s="185">
        <v>13</v>
      </c>
      <c r="C45" s="95" t="s">
        <v>128</v>
      </c>
      <c r="D45" s="196" t="s">
        <v>918</v>
      </c>
      <c r="E45" s="92"/>
      <c r="F45" s="93"/>
    </row>
    <row r="46" spans="1:6" ht="89.25">
      <c r="A46" s="86"/>
      <c r="B46" s="185">
        <v>14</v>
      </c>
      <c r="C46" s="91" t="s">
        <v>515</v>
      </c>
      <c r="D46" s="196" t="s">
        <v>918</v>
      </c>
      <c r="E46" s="92"/>
      <c r="F46" s="94"/>
    </row>
    <row r="47" spans="1:6" ht="89.25">
      <c r="A47" s="86"/>
      <c r="B47" s="185">
        <v>15</v>
      </c>
      <c r="C47" s="95" t="s">
        <v>647</v>
      </c>
      <c r="D47" s="196" t="s">
        <v>918</v>
      </c>
      <c r="E47" s="92"/>
      <c r="F47" s="93"/>
    </row>
    <row r="48" spans="1:6" ht="76.5">
      <c r="A48" s="86"/>
      <c r="B48" s="185">
        <v>16</v>
      </c>
      <c r="C48" s="95" t="s">
        <v>129</v>
      </c>
      <c r="D48" s="196" t="s">
        <v>918</v>
      </c>
      <c r="E48" s="92"/>
      <c r="F48" s="94"/>
    </row>
    <row r="49" spans="1:10" ht="63.75">
      <c r="A49" s="86"/>
      <c r="B49" s="185">
        <v>17</v>
      </c>
      <c r="C49" s="95" t="s">
        <v>139</v>
      </c>
      <c r="D49" s="196" t="s">
        <v>918</v>
      </c>
      <c r="E49" s="92"/>
      <c r="F49" s="94"/>
    </row>
    <row r="50" spans="1:10" ht="77.25" thickBot="1">
      <c r="A50" s="86"/>
      <c r="B50" s="185">
        <v>18</v>
      </c>
      <c r="C50" s="116" t="s">
        <v>120</v>
      </c>
      <c r="D50" s="196" t="s">
        <v>918</v>
      </c>
      <c r="E50" s="113"/>
      <c r="F50" s="114"/>
    </row>
    <row r="51" spans="1:10" ht="13.5" thickBot="1">
      <c r="B51" s="96"/>
      <c r="C51" s="97"/>
      <c r="D51" s="98"/>
      <c r="E51" s="98"/>
      <c r="F51" s="99"/>
    </row>
    <row r="52" spans="1:10">
      <c r="B52" s="32"/>
      <c r="C52" s="35"/>
      <c r="J52" s="33"/>
    </row>
    <row r="53" spans="1:10">
      <c r="B53" s="32"/>
      <c r="C53" s="35"/>
      <c r="J53" s="33"/>
    </row>
    <row r="54" spans="1:10">
      <c r="B54" s="32"/>
      <c r="C54" s="35"/>
      <c r="J54" s="33"/>
    </row>
    <row r="55" spans="1:10" ht="14.25">
      <c r="B55" s="286" t="s">
        <v>706</v>
      </c>
      <c r="C55" s="287"/>
      <c r="D55" s="287"/>
      <c r="E55" s="287"/>
      <c r="F55" s="287"/>
      <c r="G55" s="287"/>
      <c r="H55" s="287"/>
      <c r="I55" s="287"/>
      <c r="J55" s="287"/>
    </row>
    <row r="56" spans="1:10" ht="38.25">
      <c r="B56" s="28"/>
      <c r="C56" s="28" t="s">
        <v>678</v>
      </c>
      <c r="D56" s="28"/>
      <c r="E56" s="28"/>
      <c r="F56" s="28"/>
      <c r="G56" s="28"/>
      <c r="H56" s="28"/>
      <c r="I56" s="28"/>
      <c r="J56" s="28"/>
    </row>
    <row r="57" spans="1:10">
      <c r="B57" s="32"/>
      <c r="C57" s="35" t="s">
        <v>679</v>
      </c>
      <c r="J57" s="33"/>
    </row>
  </sheetData>
  <mergeCells count="11">
    <mergeCell ref="B9:C9"/>
    <mergeCell ref="B10:C10"/>
    <mergeCell ref="B11:C11"/>
    <mergeCell ref="B55:J55"/>
    <mergeCell ref="B31:F31"/>
    <mergeCell ref="B8:C8"/>
    <mergeCell ref="B2:E2"/>
    <mergeCell ref="B3:C3"/>
    <mergeCell ref="B4:C4"/>
    <mergeCell ref="B6:C6"/>
    <mergeCell ref="B7:C7"/>
  </mergeCells>
  <dataValidations count="1">
    <dataValidation type="list" showInputMessage="1" showErrorMessage="1" sqref="D33:D50">
      <formula1>"TODO NATIVO, NATIVO Y DESARROLLO, DESARROLLO TOTAL"</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FFC000"/>
  </sheetPr>
  <dimension ref="A1:J66"/>
  <sheetViews>
    <sheetView topLeftCell="A4" workbookViewId="0">
      <selection activeCell="C33" sqref="C33:C59"/>
    </sheetView>
  </sheetViews>
  <sheetFormatPr defaultRowHeight="12.75"/>
  <cols>
    <col min="1" max="1" width="2.42578125" customWidth="1"/>
    <col min="2" max="2" width="4" customWidth="1"/>
    <col min="3" max="3" width="54.7109375" customWidth="1"/>
    <col min="4" max="4" width="22.28515625" customWidth="1"/>
    <col min="5" max="5" width="12.85546875" customWidth="1"/>
    <col min="6" max="6" width="10.42578125" customWidth="1"/>
    <col min="7" max="7" width="11.5703125" customWidth="1"/>
    <col min="8" max="8" width="10.5703125" customWidth="1"/>
    <col min="9" max="9" width="13"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38.2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1:10" ht="13.5" hidden="1" customHeight="1">
      <c r="B17" s="207"/>
      <c r="C17" s="207"/>
      <c r="D17" s="79"/>
      <c r="E17" s="208"/>
      <c r="F17" s="79"/>
      <c r="G17" s="208"/>
      <c r="H17" s="79"/>
      <c r="J17" s="33"/>
    </row>
    <row r="18" spans="1:10" ht="13.5" hidden="1" customHeight="1">
      <c r="B18" s="207"/>
      <c r="C18" s="207"/>
      <c r="D18" s="79"/>
      <c r="E18" s="208"/>
      <c r="F18" s="79"/>
      <c r="G18" s="208"/>
      <c r="H18" s="79"/>
      <c r="J18" s="33"/>
    </row>
    <row r="19" spans="1:10" ht="13.5" hidden="1" customHeight="1">
      <c r="B19" s="207"/>
      <c r="C19" s="207"/>
      <c r="D19" s="79"/>
      <c r="E19" s="208"/>
      <c r="F19" s="79"/>
      <c r="G19" s="208"/>
      <c r="H19" s="79"/>
      <c r="J19" s="33"/>
    </row>
    <row r="20" spans="1:10" ht="13.5" hidden="1" customHeight="1">
      <c r="B20" s="207"/>
      <c r="C20" s="207"/>
      <c r="D20" s="79"/>
      <c r="E20" s="208"/>
      <c r="F20" s="79"/>
      <c r="G20" s="208"/>
      <c r="H20" s="79"/>
      <c r="J20" s="33"/>
    </row>
    <row r="21" spans="1:10" ht="13.5" hidden="1" customHeight="1">
      <c r="B21" s="207"/>
      <c r="C21" s="207"/>
      <c r="D21" s="79"/>
      <c r="E21" s="208"/>
      <c r="F21" s="79"/>
      <c r="G21" s="208"/>
      <c r="H21" s="79"/>
      <c r="J21" s="33"/>
    </row>
    <row r="22" spans="1:10" ht="13.5" hidden="1" customHeight="1">
      <c r="B22" s="207"/>
      <c r="C22" s="207"/>
      <c r="D22" s="79"/>
      <c r="E22" s="208"/>
      <c r="F22" s="79"/>
      <c r="G22" s="208"/>
      <c r="H22" s="79"/>
      <c r="J22" s="33"/>
    </row>
    <row r="23" spans="1:10" ht="13.5" hidden="1" customHeight="1">
      <c r="B23" s="207"/>
      <c r="C23" s="207"/>
      <c r="D23" s="79"/>
      <c r="E23" s="208"/>
      <c r="F23" s="79"/>
      <c r="G23" s="208"/>
      <c r="H23" s="79"/>
      <c r="J23" s="33"/>
    </row>
    <row r="24" spans="1:10" ht="13.5" hidden="1" customHeight="1">
      <c r="B24" s="207"/>
      <c r="C24" s="207"/>
      <c r="D24" s="79"/>
      <c r="E24" s="208"/>
      <c r="F24" s="79"/>
      <c r="G24" s="208"/>
      <c r="H24" s="79"/>
      <c r="J24" s="33"/>
    </row>
    <row r="25" spans="1:10" ht="13.5" hidden="1" customHeight="1">
      <c r="B25" s="207"/>
      <c r="C25" s="207"/>
      <c r="D25" s="79"/>
      <c r="E25" s="208"/>
      <c r="F25" s="79"/>
      <c r="G25" s="208"/>
      <c r="H25" s="79"/>
      <c r="J25" s="33"/>
    </row>
    <row r="26" spans="1:10" ht="13.5" hidden="1" customHeight="1">
      <c r="B26" s="207"/>
      <c r="C26" s="207"/>
      <c r="D26" s="79"/>
      <c r="E26" s="208"/>
      <c r="F26" s="79"/>
      <c r="G26" s="208"/>
      <c r="H26" s="79"/>
      <c r="J26" s="33"/>
    </row>
    <row r="27" spans="1:10" ht="13.5" hidden="1" customHeight="1">
      <c r="B27" s="207"/>
      <c r="C27" s="207"/>
      <c r="D27" s="79"/>
      <c r="E27" s="208"/>
      <c r="F27" s="79"/>
      <c r="G27" s="208"/>
      <c r="H27" s="79"/>
      <c r="J27" s="33"/>
    </row>
    <row r="28" spans="1:10" ht="13.5" hidden="1" customHeight="1">
      <c r="B28" s="207"/>
      <c r="C28" s="207"/>
      <c r="D28" s="79"/>
      <c r="E28" s="208"/>
      <c r="F28" s="79"/>
      <c r="G28" s="208"/>
      <c r="H28" s="79"/>
      <c r="J28" s="33"/>
    </row>
    <row r="29" spans="1:10" ht="13.5" hidden="1" customHeight="1">
      <c r="B29" s="207"/>
      <c r="C29" s="207"/>
      <c r="D29" s="79"/>
      <c r="E29" s="208"/>
      <c r="F29" s="79"/>
      <c r="G29" s="208"/>
      <c r="H29" s="79"/>
      <c r="J29" s="33"/>
    </row>
    <row r="30" spans="1:10" ht="13.5" thickBot="1">
      <c r="B30" s="224">
        <f>COUNT(B32:B300)</f>
        <v>27</v>
      </c>
      <c r="C30" s="35"/>
      <c r="J30" s="33"/>
    </row>
    <row r="31" spans="1:10" ht="14.25" customHeight="1" thickBot="1">
      <c r="B31" s="292" t="s">
        <v>704</v>
      </c>
      <c r="C31" s="293"/>
      <c r="D31" s="293"/>
      <c r="E31" s="293"/>
      <c r="F31" s="293"/>
    </row>
    <row r="32" spans="1:10" ht="25.5">
      <c r="A32" s="86"/>
      <c r="B32" s="87"/>
      <c r="C32" s="88" t="s">
        <v>96</v>
      </c>
      <c r="D32" s="105" t="s">
        <v>917</v>
      </c>
      <c r="E32" s="89" t="s">
        <v>98</v>
      </c>
      <c r="F32" s="90" t="s">
        <v>709</v>
      </c>
    </row>
    <row r="33" spans="1:6" ht="51">
      <c r="A33" s="86"/>
      <c r="B33" s="185">
        <v>1</v>
      </c>
      <c r="C33" s="95" t="s">
        <v>619</v>
      </c>
      <c r="D33" s="196" t="s">
        <v>918</v>
      </c>
      <c r="E33" s="92"/>
      <c r="F33" s="93"/>
    </row>
    <row r="34" spans="1:6" ht="102">
      <c r="A34" s="86"/>
      <c r="B34" s="185">
        <v>2</v>
      </c>
      <c r="C34" s="121" t="s">
        <v>632</v>
      </c>
      <c r="D34" s="196" t="s">
        <v>918</v>
      </c>
      <c r="E34" s="92"/>
      <c r="F34" s="93"/>
    </row>
    <row r="35" spans="1:6" ht="51">
      <c r="A35" s="86"/>
      <c r="B35" s="185">
        <v>3</v>
      </c>
      <c r="C35" s="95" t="s">
        <v>611</v>
      </c>
      <c r="D35" s="196" t="s">
        <v>918</v>
      </c>
      <c r="E35" s="92"/>
      <c r="F35" s="93"/>
    </row>
    <row r="36" spans="1:6" ht="51">
      <c r="A36" s="86"/>
      <c r="B36" s="185">
        <v>4</v>
      </c>
      <c r="C36" s="95" t="s">
        <v>634</v>
      </c>
      <c r="D36" s="196" t="s">
        <v>918</v>
      </c>
      <c r="E36" s="92"/>
      <c r="F36" s="93"/>
    </row>
    <row r="37" spans="1:6" ht="51">
      <c r="A37" s="86"/>
      <c r="B37" s="185">
        <v>5</v>
      </c>
      <c r="C37" s="95" t="s">
        <v>136</v>
      </c>
      <c r="D37" s="196" t="s">
        <v>918</v>
      </c>
      <c r="E37" s="92"/>
      <c r="F37" s="93"/>
    </row>
    <row r="38" spans="1:6" ht="114.75">
      <c r="A38" s="86"/>
      <c r="B38" s="185">
        <v>6</v>
      </c>
      <c r="C38" s="95" t="s">
        <v>562</v>
      </c>
      <c r="D38" s="196" t="s">
        <v>918</v>
      </c>
      <c r="E38" s="92"/>
      <c r="F38" s="93"/>
    </row>
    <row r="39" spans="1:6" ht="63.75">
      <c r="A39" s="86"/>
      <c r="B39" s="185">
        <v>7</v>
      </c>
      <c r="C39" s="95" t="s">
        <v>548</v>
      </c>
      <c r="D39" s="196" t="s">
        <v>918</v>
      </c>
      <c r="E39" s="92"/>
      <c r="F39" s="93"/>
    </row>
    <row r="40" spans="1:6" ht="63.75">
      <c r="A40" s="86"/>
      <c r="B40" s="185">
        <v>8</v>
      </c>
      <c r="C40" s="95" t="s">
        <v>548</v>
      </c>
      <c r="D40" s="196" t="s">
        <v>918</v>
      </c>
      <c r="E40" s="92"/>
      <c r="F40" s="93"/>
    </row>
    <row r="41" spans="1:6" ht="38.25">
      <c r="A41" s="86"/>
      <c r="B41" s="185">
        <v>9</v>
      </c>
      <c r="C41" s="95" t="s">
        <v>553</v>
      </c>
      <c r="D41" s="196" t="s">
        <v>918</v>
      </c>
      <c r="E41" s="92"/>
      <c r="F41" s="93"/>
    </row>
    <row r="42" spans="1:6" ht="38.25">
      <c r="A42" s="86"/>
      <c r="B42" s="185">
        <v>10</v>
      </c>
      <c r="C42" s="121" t="s">
        <v>517</v>
      </c>
      <c r="D42" s="196" t="s">
        <v>918</v>
      </c>
      <c r="E42" s="92"/>
      <c r="F42" s="93"/>
    </row>
    <row r="43" spans="1:6" ht="89.25">
      <c r="A43" s="86"/>
      <c r="B43" s="185">
        <v>11</v>
      </c>
      <c r="C43" s="121" t="s">
        <v>561</v>
      </c>
      <c r="D43" s="196" t="s">
        <v>918</v>
      </c>
      <c r="E43" s="92"/>
      <c r="F43" s="93"/>
    </row>
    <row r="44" spans="1:6" ht="51">
      <c r="A44" s="86"/>
      <c r="B44" s="185">
        <v>12</v>
      </c>
      <c r="C44" s="121" t="s">
        <v>132</v>
      </c>
      <c r="D44" s="196" t="s">
        <v>918</v>
      </c>
      <c r="E44" s="92"/>
      <c r="F44" s="93"/>
    </row>
    <row r="45" spans="1:6" ht="76.5">
      <c r="A45" s="86"/>
      <c r="B45" s="185">
        <v>13</v>
      </c>
      <c r="C45" s="95" t="s">
        <v>552</v>
      </c>
      <c r="D45" s="196" t="s">
        <v>918</v>
      </c>
      <c r="E45" s="92"/>
      <c r="F45" s="93"/>
    </row>
    <row r="46" spans="1:6" ht="76.5">
      <c r="A46" s="86"/>
      <c r="B46" s="185">
        <v>14</v>
      </c>
      <c r="C46" s="95" t="s">
        <v>555</v>
      </c>
      <c r="D46" s="196" t="s">
        <v>918</v>
      </c>
      <c r="E46" s="92"/>
      <c r="F46" s="93"/>
    </row>
    <row r="47" spans="1:6" ht="76.5">
      <c r="A47" s="86"/>
      <c r="B47" s="185">
        <v>15</v>
      </c>
      <c r="C47" s="115" t="s">
        <v>555</v>
      </c>
      <c r="D47" s="196" t="s">
        <v>918</v>
      </c>
      <c r="E47" s="92"/>
      <c r="F47" s="93"/>
    </row>
    <row r="48" spans="1:6" ht="89.25">
      <c r="A48" s="86"/>
      <c r="B48" s="185">
        <v>16</v>
      </c>
      <c r="C48" s="95" t="s">
        <v>612</v>
      </c>
      <c r="D48" s="196" t="s">
        <v>918</v>
      </c>
      <c r="E48" s="92"/>
      <c r="F48" s="93"/>
    </row>
    <row r="49" spans="1:10" ht="89.25">
      <c r="A49" s="86"/>
      <c r="B49" s="185">
        <v>17</v>
      </c>
      <c r="C49" s="115" t="s">
        <v>592</v>
      </c>
      <c r="D49" s="196" t="s">
        <v>918</v>
      </c>
      <c r="E49" s="92"/>
      <c r="F49" s="93"/>
    </row>
    <row r="50" spans="1:10" ht="51">
      <c r="A50" s="86"/>
      <c r="B50" s="185">
        <v>18</v>
      </c>
      <c r="C50" s="115" t="s">
        <v>566</v>
      </c>
      <c r="D50" s="196" t="s">
        <v>918</v>
      </c>
      <c r="E50" s="92"/>
      <c r="F50" s="93"/>
    </row>
    <row r="51" spans="1:10" ht="38.25">
      <c r="A51" s="86"/>
      <c r="B51" s="185">
        <v>19</v>
      </c>
      <c r="C51" s="115" t="s">
        <v>593</v>
      </c>
      <c r="D51" s="196" t="s">
        <v>918</v>
      </c>
      <c r="E51" s="92"/>
      <c r="F51" s="93"/>
    </row>
    <row r="52" spans="1:10" ht="51">
      <c r="A52" s="86"/>
      <c r="B52" s="185">
        <v>20</v>
      </c>
      <c r="C52" s="121" t="s">
        <v>684</v>
      </c>
      <c r="D52" s="196" t="s">
        <v>918</v>
      </c>
      <c r="E52" s="92"/>
      <c r="F52" s="93"/>
    </row>
    <row r="53" spans="1:10" ht="102">
      <c r="A53" s="86"/>
      <c r="B53" s="185">
        <v>21</v>
      </c>
      <c r="C53" s="95" t="s">
        <v>556</v>
      </c>
      <c r="D53" s="196" t="s">
        <v>918</v>
      </c>
      <c r="E53" s="92"/>
      <c r="F53" s="93"/>
    </row>
    <row r="54" spans="1:10" ht="51">
      <c r="A54" s="86"/>
      <c r="B54" s="185">
        <v>22</v>
      </c>
      <c r="C54" s="121" t="s">
        <v>141</v>
      </c>
      <c r="D54" s="196" t="s">
        <v>918</v>
      </c>
      <c r="E54" s="92"/>
      <c r="F54" s="93"/>
    </row>
    <row r="55" spans="1:10" ht="51">
      <c r="A55" s="86"/>
      <c r="B55" s="185">
        <v>23</v>
      </c>
      <c r="C55" s="95" t="s">
        <v>554</v>
      </c>
      <c r="D55" s="196" t="s">
        <v>918</v>
      </c>
      <c r="E55" s="92"/>
      <c r="F55" s="93"/>
    </row>
    <row r="56" spans="1:10" ht="38.25">
      <c r="A56" s="86"/>
      <c r="B56" s="185">
        <v>24</v>
      </c>
      <c r="C56" s="95" t="s">
        <v>565</v>
      </c>
      <c r="D56" s="196" t="s">
        <v>918</v>
      </c>
      <c r="E56" s="92"/>
      <c r="F56" s="93"/>
    </row>
    <row r="57" spans="1:10" ht="38.25">
      <c r="A57" s="117"/>
      <c r="B57" s="185">
        <v>25</v>
      </c>
      <c r="C57" s="95" t="s">
        <v>549</v>
      </c>
      <c r="D57" s="196" t="s">
        <v>918</v>
      </c>
      <c r="E57" s="92"/>
      <c r="F57" s="93"/>
    </row>
    <row r="58" spans="1:10" ht="51">
      <c r="A58" s="117"/>
      <c r="B58" s="185">
        <v>26</v>
      </c>
      <c r="C58" s="95" t="s">
        <v>551</v>
      </c>
      <c r="D58" s="196" t="s">
        <v>918</v>
      </c>
      <c r="E58" s="92"/>
      <c r="F58" s="93"/>
    </row>
    <row r="59" spans="1:10" ht="38.25">
      <c r="A59" s="117"/>
      <c r="B59" s="185">
        <v>27</v>
      </c>
      <c r="C59" s="122" t="s">
        <v>550</v>
      </c>
      <c r="D59" s="196" t="s">
        <v>918</v>
      </c>
      <c r="E59" s="119"/>
      <c r="F59" s="120"/>
    </row>
    <row r="60" spans="1:10" ht="13.5" thickBot="1">
      <c r="B60" s="96"/>
      <c r="C60" s="97"/>
      <c r="D60" s="98"/>
      <c r="E60" s="98"/>
      <c r="F60" s="99"/>
    </row>
    <row r="61" spans="1:10">
      <c r="B61" s="32"/>
      <c r="C61" s="35"/>
      <c r="J61" s="33"/>
    </row>
    <row r="62" spans="1:10">
      <c r="B62" s="32"/>
      <c r="C62" s="35"/>
      <c r="J62" s="33"/>
    </row>
    <row r="63" spans="1:10">
      <c r="B63" s="32"/>
      <c r="C63" s="35"/>
      <c r="J63" s="33"/>
    </row>
    <row r="64" spans="1:10" ht="14.25">
      <c r="B64" s="286" t="s">
        <v>706</v>
      </c>
      <c r="C64" s="287"/>
      <c r="D64" s="287"/>
      <c r="E64" s="287"/>
      <c r="F64" s="287"/>
      <c r="G64" s="287"/>
      <c r="H64" s="287"/>
      <c r="I64" s="287"/>
      <c r="J64" s="287"/>
    </row>
    <row r="65" spans="2:10" ht="38.25">
      <c r="B65" s="28"/>
      <c r="C65" s="28" t="s">
        <v>678</v>
      </c>
      <c r="D65" s="28"/>
      <c r="E65" s="28"/>
      <c r="F65" s="28"/>
      <c r="G65" s="28"/>
      <c r="H65" s="28"/>
      <c r="I65" s="28"/>
      <c r="J65" s="28"/>
    </row>
    <row r="66" spans="2:10">
      <c r="B66" s="32"/>
      <c r="C66" s="35" t="s">
        <v>679</v>
      </c>
      <c r="J66" s="33"/>
    </row>
  </sheetData>
  <mergeCells count="11">
    <mergeCell ref="B9:C9"/>
    <mergeCell ref="B10:C10"/>
    <mergeCell ref="B11:C11"/>
    <mergeCell ref="B64:J64"/>
    <mergeCell ref="B31:F31"/>
    <mergeCell ref="B8:C8"/>
    <mergeCell ref="B2:E2"/>
    <mergeCell ref="B3:C3"/>
    <mergeCell ref="B4:C4"/>
    <mergeCell ref="B6:C6"/>
    <mergeCell ref="B7:C7"/>
  </mergeCells>
  <dataValidations count="1">
    <dataValidation type="list" showInputMessage="1" showErrorMessage="1" sqref="D33:D59">
      <formula1>"TODO NATIVO, NATIVO Y DESARROLLO, DESARROLLO TOTAL"</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sheetPr>
    <tabColor rgb="FFFFC000"/>
  </sheetPr>
  <dimension ref="A1:J53"/>
  <sheetViews>
    <sheetView topLeftCell="A40" workbookViewId="0">
      <selection activeCell="C46" sqref="C46"/>
    </sheetView>
  </sheetViews>
  <sheetFormatPr defaultRowHeight="12.75"/>
  <cols>
    <col min="1" max="1" width="2.5703125" customWidth="1"/>
    <col min="3" max="3" width="74.7109375" customWidth="1"/>
    <col min="4" max="4" width="20.7109375" bestFit="1" customWidth="1"/>
    <col min="5" max="5" width="12.85546875" customWidth="1"/>
    <col min="6" max="6" width="10.85546875" customWidth="1"/>
    <col min="7" max="7" width="11" customWidth="1"/>
    <col min="8" max="8" width="10.7109375" customWidth="1"/>
    <col min="9" max="9" width="13.28515625"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38.2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1:10" ht="13.5" hidden="1" customHeight="1">
      <c r="B17" s="207"/>
      <c r="C17" s="207"/>
      <c r="D17" s="79"/>
      <c r="E17" s="208"/>
      <c r="F17" s="79"/>
      <c r="G17" s="208"/>
      <c r="H17" s="79"/>
      <c r="J17" s="33"/>
    </row>
    <row r="18" spans="1:10" ht="13.5" hidden="1" customHeight="1">
      <c r="B18" s="207"/>
      <c r="C18" s="207"/>
      <c r="D18" s="79"/>
      <c r="E18" s="208"/>
      <c r="F18" s="79"/>
      <c r="G18" s="208"/>
      <c r="H18" s="79"/>
      <c r="J18" s="33"/>
    </row>
    <row r="19" spans="1:10" ht="13.5" hidden="1" customHeight="1">
      <c r="B19" s="207"/>
      <c r="C19" s="207"/>
      <c r="D19" s="79"/>
      <c r="E19" s="208"/>
      <c r="F19" s="79"/>
      <c r="G19" s="208"/>
      <c r="H19" s="79"/>
      <c r="J19" s="33"/>
    </row>
    <row r="20" spans="1:10" ht="13.5" hidden="1" customHeight="1">
      <c r="B20" s="207"/>
      <c r="C20" s="207"/>
      <c r="D20" s="79"/>
      <c r="E20" s="208"/>
      <c r="F20" s="79"/>
      <c r="G20" s="208"/>
      <c r="H20" s="79"/>
      <c r="J20" s="33"/>
    </row>
    <row r="21" spans="1:10" ht="13.5" hidden="1" customHeight="1">
      <c r="B21" s="207"/>
      <c r="C21" s="207"/>
      <c r="D21" s="79"/>
      <c r="E21" s="208"/>
      <c r="F21" s="79"/>
      <c r="G21" s="208"/>
      <c r="H21" s="79"/>
      <c r="J21" s="33"/>
    </row>
    <row r="22" spans="1:10" ht="13.5" hidden="1" customHeight="1">
      <c r="B22" s="207"/>
      <c r="C22" s="207"/>
      <c r="D22" s="79"/>
      <c r="E22" s="208"/>
      <c r="F22" s="79"/>
      <c r="G22" s="208"/>
      <c r="H22" s="79"/>
      <c r="J22" s="33"/>
    </row>
    <row r="23" spans="1:10" ht="13.5" hidden="1" customHeight="1">
      <c r="B23" s="207"/>
      <c r="C23" s="207"/>
      <c r="D23" s="79"/>
      <c r="E23" s="208"/>
      <c r="F23" s="79"/>
      <c r="G23" s="208"/>
      <c r="H23" s="79"/>
      <c r="J23" s="33"/>
    </row>
    <row r="24" spans="1:10" ht="13.5" hidden="1" customHeight="1">
      <c r="B24" s="207"/>
      <c r="C24" s="207"/>
      <c r="D24" s="79"/>
      <c r="E24" s="208"/>
      <c r="F24" s="79"/>
      <c r="G24" s="208"/>
      <c r="H24" s="79"/>
      <c r="J24" s="33"/>
    </row>
    <row r="25" spans="1:10" ht="13.5" hidden="1" customHeight="1">
      <c r="B25" s="207"/>
      <c r="C25" s="207"/>
      <c r="D25" s="79"/>
      <c r="E25" s="208"/>
      <c r="F25" s="79"/>
      <c r="G25" s="208"/>
      <c r="H25" s="79"/>
      <c r="J25" s="33"/>
    </row>
    <row r="26" spans="1:10" ht="13.5" hidden="1" customHeight="1">
      <c r="B26" s="207"/>
      <c r="C26" s="207"/>
      <c r="D26" s="79"/>
      <c r="E26" s="208"/>
      <c r="F26" s="79"/>
      <c r="G26" s="208"/>
      <c r="H26" s="79"/>
      <c r="J26" s="33"/>
    </row>
    <row r="27" spans="1:10" ht="13.5" hidden="1" customHeight="1">
      <c r="B27" s="207"/>
      <c r="C27" s="207"/>
      <c r="D27" s="79"/>
      <c r="E27" s="208"/>
      <c r="F27" s="79"/>
      <c r="G27" s="208"/>
      <c r="H27" s="79"/>
      <c r="J27" s="33"/>
    </row>
    <row r="28" spans="1:10" ht="13.5" hidden="1" customHeight="1">
      <c r="B28" s="207"/>
      <c r="C28" s="207"/>
      <c r="D28" s="79"/>
      <c r="E28" s="208"/>
      <c r="F28" s="79"/>
      <c r="G28" s="208"/>
      <c r="H28" s="79"/>
      <c r="J28" s="33"/>
    </row>
    <row r="29" spans="1:10" ht="13.5" hidden="1" customHeight="1">
      <c r="B29" s="207"/>
      <c r="C29" s="207"/>
      <c r="D29" s="79"/>
      <c r="E29" s="208"/>
      <c r="F29" s="79"/>
      <c r="G29" s="208"/>
      <c r="H29" s="79"/>
      <c r="J29" s="33"/>
    </row>
    <row r="30" spans="1:10" ht="13.5" thickBot="1">
      <c r="B30" s="224">
        <f>COUNT(B32:B300)</f>
        <v>14</v>
      </c>
      <c r="C30" s="35"/>
      <c r="J30" s="33"/>
    </row>
    <row r="31" spans="1:10" ht="14.25" customHeight="1" thickBot="1">
      <c r="B31" s="292" t="s">
        <v>704</v>
      </c>
      <c r="C31" s="293"/>
      <c r="D31" s="293"/>
      <c r="E31" s="293"/>
      <c r="F31" s="293"/>
    </row>
    <row r="32" spans="1:10" ht="25.5">
      <c r="A32" s="117"/>
      <c r="B32" s="87"/>
      <c r="C32" s="88" t="s">
        <v>96</v>
      </c>
      <c r="D32" s="105" t="s">
        <v>917</v>
      </c>
      <c r="E32" s="89" t="s">
        <v>98</v>
      </c>
      <c r="F32" s="90" t="s">
        <v>709</v>
      </c>
    </row>
    <row r="33" spans="1:10" ht="51">
      <c r="A33" s="117"/>
      <c r="B33" s="185">
        <v>1</v>
      </c>
      <c r="C33" s="95" t="s">
        <v>580</v>
      </c>
      <c r="D33" s="196" t="s">
        <v>918</v>
      </c>
      <c r="E33" s="92"/>
      <c r="F33" s="93"/>
    </row>
    <row r="34" spans="1:10" ht="89.25">
      <c r="A34" s="117"/>
      <c r="B34" s="185">
        <v>2</v>
      </c>
      <c r="C34" s="115" t="s">
        <v>582</v>
      </c>
      <c r="D34" s="196" t="s">
        <v>918</v>
      </c>
      <c r="E34" s="92"/>
      <c r="F34" s="93"/>
    </row>
    <row r="35" spans="1:10" ht="38.25">
      <c r="A35" s="86"/>
      <c r="B35" s="185">
        <v>3</v>
      </c>
      <c r="C35" s="115" t="s">
        <v>615</v>
      </c>
      <c r="D35" s="196" t="s">
        <v>918</v>
      </c>
      <c r="E35" s="92"/>
      <c r="F35" s="94"/>
    </row>
    <row r="36" spans="1:10" ht="38.25">
      <c r="A36" s="86"/>
      <c r="B36" s="185">
        <v>4</v>
      </c>
      <c r="C36" s="95" t="s">
        <v>685</v>
      </c>
      <c r="D36" s="196" t="s">
        <v>918</v>
      </c>
      <c r="E36" s="92"/>
      <c r="F36" s="93"/>
    </row>
    <row r="37" spans="1:10" ht="38.25">
      <c r="A37" s="86"/>
      <c r="B37" s="185">
        <v>5</v>
      </c>
      <c r="C37" s="91" t="s">
        <v>568</v>
      </c>
      <c r="D37" s="196" t="s">
        <v>918</v>
      </c>
      <c r="E37" s="92"/>
      <c r="F37" s="94"/>
    </row>
    <row r="38" spans="1:10" ht="38.25">
      <c r="A38" s="86"/>
      <c r="B38" s="185">
        <v>6</v>
      </c>
      <c r="C38" s="91" t="s">
        <v>617</v>
      </c>
      <c r="D38" s="196" t="s">
        <v>918</v>
      </c>
      <c r="E38" s="92"/>
      <c r="F38" s="94"/>
    </row>
    <row r="39" spans="1:10" ht="76.5">
      <c r="A39" s="86"/>
      <c r="B39" s="185">
        <v>7</v>
      </c>
      <c r="C39" s="95" t="s">
        <v>493</v>
      </c>
      <c r="D39" s="196" t="s">
        <v>918</v>
      </c>
      <c r="E39" s="92"/>
      <c r="F39" s="93"/>
    </row>
    <row r="40" spans="1:10" ht="51">
      <c r="A40" s="86"/>
      <c r="B40" s="185">
        <v>8</v>
      </c>
      <c r="C40" s="115" t="s">
        <v>581</v>
      </c>
      <c r="D40" s="196" t="s">
        <v>918</v>
      </c>
      <c r="E40" s="92"/>
      <c r="F40" s="93"/>
    </row>
    <row r="41" spans="1:10" ht="38.25">
      <c r="A41" s="86"/>
      <c r="B41" s="185">
        <v>9</v>
      </c>
      <c r="C41" s="115" t="s">
        <v>511</v>
      </c>
      <c r="D41" s="196" t="s">
        <v>918</v>
      </c>
      <c r="E41" s="92"/>
      <c r="F41" s="93"/>
    </row>
    <row r="42" spans="1:10" ht="51">
      <c r="A42" s="86"/>
      <c r="B42" s="185">
        <v>10</v>
      </c>
      <c r="C42" s="91" t="s">
        <v>516</v>
      </c>
      <c r="D42" s="196" t="s">
        <v>918</v>
      </c>
      <c r="E42" s="92"/>
      <c r="F42" s="93"/>
    </row>
    <row r="43" spans="1:10" ht="25.5">
      <c r="A43" s="86"/>
      <c r="B43" s="185">
        <v>11</v>
      </c>
      <c r="C43" s="95" t="s">
        <v>616</v>
      </c>
      <c r="D43" s="196" t="s">
        <v>918</v>
      </c>
      <c r="E43" s="92"/>
      <c r="F43" s="93"/>
    </row>
    <row r="44" spans="1:10" ht="38.25">
      <c r="A44" s="86"/>
      <c r="B44" s="185">
        <v>12</v>
      </c>
      <c r="C44" s="115" t="s">
        <v>510</v>
      </c>
      <c r="D44" s="196" t="s">
        <v>918</v>
      </c>
      <c r="E44" s="92"/>
      <c r="F44" s="93"/>
    </row>
    <row r="45" spans="1:10" ht="89.25">
      <c r="A45" s="86"/>
      <c r="B45" s="185">
        <v>13</v>
      </c>
      <c r="C45" s="95" t="s">
        <v>490</v>
      </c>
      <c r="D45" s="196" t="s">
        <v>918</v>
      </c>
      <c r="E45" s="92"/>
      <c r="F45" s="93"/>
    </row>
    <row r="46" spans="1:10" ht="25.5">
      <c r="B46" s="185">
        <v>14</v>
      </c>
      <c r="C46" s="124" t="s">
        <v>142</v>
      </c>
      <c r="D46" s="196" t="s">
        <v>918</v>
      </c>
      <c r="E46" s="123"/>
      <c r="F46" s="120"/>
    </row>
    <row r="47" spans="1:10" ht="13.5" thickBot="1">
      <c r="B47" s="96"/>
      <c r="C47" s="97"/>
      <c r="D47" s="98"/>
      <c r="E47" s="98"/>
      <c r="F47" s="99"/>
    </row>
    <row r="48" spans="1:10">
      <c r="B48" s="32"/>
      <c r="C48" s="35"/>
      <c r="J48" s="33"/>
    </row>
    <row r="49" spans="2:10">
      <c r="B49" s="32"/>
      <c r="C49" s="35"/>
      <c r="J49" s="33"/>
    </row>
    <row r="50" spans="2:10">
      <c r="B50" s="32"/>
      <c r="C50" s="35"/>
      <c r="J50" s="33"/>
    </row>
    <row r="51" spans="2:10" ht="14.25">
      <c r="B51" s="286" t="s">
        <v>706</v>
      </c>
      <c r="C51" s="287"/>
      <c r="D51" s="287"/>
      <c r="E51" s="287"/>
      <c r="F51" s="287"/>
      <c r="G51" s="287"/>
      <c r="H51" s="287"/>
      <c r="I51" s="287"/>
      <c r="J51" s="287"/>
    </row>
    <row r="52" spans="2:10" ht="25.5">
      <c r="B52" s="28"/>
      <c r="C52" s="28" t="s">
        <v>678</v>
      </c>
      <c r="D52" s="28"/>
      <c r="E52" s="28"/>
      <c r="F52" s="28"/>
      <c r="G52" s="28"/>
      <c r="H52" s="28"/>
      <c r="I52" s="28"/>
      <c r="J52" s="28"/>
    </row>
    <row r="53" spans="2:10">
      <c r="B53" s="32"/>
      <c r="C53" s="35" t="s">
        <v>679</v>
      </c>
      <c r="J53" s="33"/>
    </row>
  </sheetData>
  <mergeCells count="11">
    <mergeCell ref="B9:C9"/>
    <mergeCell ref="B10:C10"/>
    <mergeCell ref="B11:C11"/>
    <mergeCell ref="B51:J51"/>
    <mergeCell ref="B31:F31"/>
    <mergeCell ref="B8:C8"/>
    <mergeCell ref="B2:E2"/>
    <mergeCell ref="B3:C3"/>
    <mergeCell ref="B4:C4"/>
    <mergeCell ref="B6:C6"/>
    <mergeCell ref="B7:C7"/>
  </mergeCells>
  <dataValidations count="1">
    <dataValidation type="list" showInputMessage="1" showErrorMessage="1" sqref="D33:D46">
      <formula1>"TODO NATIVO, NATIVO Y DESARROLLO, DESARROLLO TOTAL"</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sheetPr>
    <tabColor rgb="FFFFC000"/>
  </sheetPr>
  <dimension ref="B1:J51"/>
  <sheetViews>
    <sheetView topLeftCell="A34" zoomScale="70" zoomScaleNormal="70" workbookViewId="0">
      <selection activeCell="C44" sqref="C44"/>
    </sheetView>
  </sheetViews>
  <sheetFormatPr defaultRowHeight="12.75"/>
  <cols>
    <col min="1" max="1" width="3.42578125" customWidth="1"/>
    <col min="2" max="2" width="7.85546875" customWidth="1"/>
    <col min="3" max="3" width="61.7109375" customWidth="1"/>
    <col min="4" max="4" width="23.85546875" customWidth="1"/>
    <col min="5" max="5" width="23.5703125" bestFit="1" customWidth="1"/>
    <col min="6" max="6" width="13.28515625" customWidth="1"/>
    <col min="7" max="7" width="13.42578125" customWidth="1"/>
    <col min="8" max="8" width="13.5703125" customWidth="1"/>
    <col min="9" max="9" width="17.42578125" bestFit="1" customWidth="1"/>
    <col min="10" max="10" width="11.42578125" bestFit="1" customWidth="1"/>
  </cols>
  <sheetData>
    <row r="1" spans="2:10" ht="13.5" thickBot="1">
      <c r="B1" s="32"/>
      <c r="C1" s="35"/>
      <c r="J1" s="33"/>
    </row>
    <row r="2" spans="2:10" ht="15" thickBot="1">
      <c r="B2" s="281" t="s">
        <v>718</v>
      </c>
      <c r="C2" s="282"/>
      <c r="D2" s="282"/>
      <c r="E2" s="283"/>
      <c r="F2" s="82"/>
      <c r="J2" s="33"/>
    </row>
    <row r="3" spans="2:10">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38.2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2:10" ht="13.5" hidden="1" customHeight="1">
      <c r="B17" s="207"/>
      <c r="C17" s="207"/>
      <c r="D17" s="79"/>
      <c r="E17" s="208"/>
      <c r="F17" s="79"/>
      <c r="G17" s="208"/>
      <c r="H17" s="79"/>
      <c r="J17" s="33"/>
    </row>
    <row r="18" spans="2:10" ht="13.5" hidden="1" customHeight="1">
      <c r="B18" s="207"/>
      <c r="C18" s="207"/>
      <c r="D18" s="79"/>
      <c r="E18" s="208"/>
      <c r="F18" s="79"/>
      <c r="G18" s="208"/>
      <c r="H18" s="79"/>
      <c r="J18" s="33"/>
    </row>
    <row r="19" spans="2:10" ht="13.5" hidden="1" customHeight="1">
      <c r="B19" s="207"/>
      <c r="C19" s="207"/>
      <c r="D19" s="79"/>
      <c r="E19" s="208"/>
      <c r="F19" s="79"/>
      <c r="G19" s="208"/>
      <c r="H19" s="79"/>
      <c r="J19" s="33"/>
    </row>
    <row r="20" spans="2:10" ht="13.5" hidden="1" customHeight="1">
      <c r="B20" s="207"/>
      <c r="C20" s="207"/>
      <c r="D20" s="79"/>
      <c r="E20" s="208"/>
      <c r="F20" s="79"/>
      <c r="G20" s="208"/>
      <c r="H20" s="79"/>
      <c r="J20" s="33"/>
    </row>
    <row r="21" spans="2:10" ht="13.5" hidden="1" customHeight="1">
      <c r="B21" s="207"/>
      <c r="C21" s="207"/>
      <c r="D21" s="79"/>
      <c r="E21" s="208"/>
      <c r="F21" s="79"/>
      <c r="G21" s="208"/>
      <c r="H21" s="79"/>
      <c r="J21" s="33"/>
    </row>
    <row r="22" spans="2:10" ht="13.5" hidden="1" customHeight="1">
      <c r="B22" s="207"/>
      <c r="C22" s="207"/>
      <c r="D22" s="79"/>
      <c r="E22" s="208"/>
      <c r="F22" s="79"/>
      <c r="G22" s="208"/>
      <c r="H22" s="79"/>
      <c r="J22" s="33"/>
    </row>
    <row r="23" spans="2:10" ht="13.5" hidden="1" customHeight="1">
      <c r="B23" s="207"/>
      <c r="C23" s="207"/>
      <c r="D23" s="79"/>
      <c r="E23" s="208"/>
      <c r="F23" s="79"/>
      <c r="G23" s="208"/>
      <c r="H23" s="79"/>
      <c r="J23" s="33"/>
    </row>
    <row r="24" spans="2:10" ht="13.5" hidden="1" customHeight="1">
      <c r="B24" s="207"/>
      <c r="C24" s="207"/>
      <c r="D24" s="79"/>
      <c r="E24" s="208"/>
      <c r="F24" s="79"/>
      <c r="G24" s="208"/>
      <c r="H24" s="79"/>
      <c r="J24" s="33"/>
    </row>
    <row r="25" spans="2:10" ht="13.5" hidden="1" customHeight="1">
      <c r="B25" s="207"/>
      <c r="C25" s="207"/>
      <c r="D25" s="79"/>
      <c r="E25" s="208"/>
      <c r="F25" s="79"/>
      <c r="G25" s="208"/>
      <c r="H25" s="79"/>
      <c r="J25" s="33"/>
    </row>
    <row r="26" spans="2:10" ht="13.5" hidden="1" customHeight="1">
      <c r="B26" s="207"/>
      <c r="C26" s="207"/>
      <c r="D26" s="79"/>
      <c r="E26" s="208"/>
      <c r="F26" s="79"/>
      <c r="G26" s="208"/>
      <c r="H26" s="79"/>
      <c r="J26" s="33"/>
    </row>
    <row r="27" spans="2:10" ht="13.5" hidden="1" customHeight="1">
      <c r="B27" s="207"/>
      <c r="C27" s="207"/>
      <c r="D27" s="79"/>
      <c r="E27" s="208"/>
      <c r="F27" s="79"/>
      <c r="G27" s="208"/>
      <c r="H27" s="79"/>
      <c r="J27" s="33"/>
    </row>
    <row r="28" spans="2:10" ht="13.5" hidden="1" customHeight="1">
      <c r="B28" s="207"/>
      <c r="C28" s="207"/>
      <c r="D28" s="79"/>
      <c r="E28" s="208"/>
      <c r="F28" s="79"/>
      <c r="G28" s="208"/>
      <c r="H28" s="79"/>
      <c r="J28" s="33"/>
    </row>
    <row r="29" spans="2:10" ht="13.5" hidden="1" customHeight="1">
      <c r="B29" s="207"/>
      <c r="C29" s="207"/>
      <c r="D29" s="79"/>
      <c r="E29" s="208"/>
      <c r="F29" s="79"/>
      <c r="G29" s="208"/>
      <c r="H29" s="79"/>
      <c r="J29" s="33"/>
    </row>
    <row r="30" spans="2:10" ht="13.5" thickBot="1">
      <c r="B30" s="224">
        <f>COUNT(B32:B300)</f>
        <v>12</v>
      </c>
      <c r="C30" s="35"/>
      <c r="J30" s="33"/>
    </row>
    <row r="31" spans="2:10" ht="14.25" customHeight="1" thickBot="1">
      <c r="B31" s="295" t="s">
        <v>704</v>
      </c>
      <c r="C31" s="296"/>
      <c r="D31" s="296"/>
      <c r="E31" s="296"/>
      <c r="F31" s="296"/>
    </row>
    <row r="32" spans="2:10" ht="25.5">
      <c r="B32" s="87"/>
      <c r="C32" s="88" t="s">
        <v>96</v>
      </c>
      <c r="D32" s="105" t="s">
        <v>917</v>
      </c>
      <c r="E32" s="89" t="s">
        <v>98</v>
      </c>
      <c r="F32" s="90" t="s">
        <v>709</v>
      </c>
    </row>
    <row r="33" spans="2:10" ht="63.75">
      <c r="B33" s="185">
        <v>1</v>
      </c>
      <c r="C33" s="91" t="s">
        <v>626</v>
      </c>
      <c r="D33" s="196" t="s">
        <v>918</v>
      </c>
      <c r="E33" s="92"/>
      <c r="F33" s="94"/>
    </row>
    <row r="34" spans="2:10" ht="51">
      <c r="B34" s="185">
        <v>2</v>
      </c>
      <c r="C34" s="91" t="s">
        <v>627</v>
      </c>
      <c r="D34" s="196" t="s">
        <v>918</v>
      </c>
      <c r="E34" s="92"/>
      <c r="F34" s="94"/>
    </row>
    <row r="35" spans="2:10" ht="51">
      <c r="B35" s="185">
        <v>3</v>
      </c>
      <c r="C35" s="91" t="s">
        <v>630</v>
      </c>
      <c r="D35" s="196" t="s">
        <v>918</v>
      </c>
      <c r="E35" s="92"/>
      <c r="F35" s="94"/>
    </row>
    <row r="36" spans="2:10" ht="38.25">
      <c r="B36" s="185">
        <v>4</v>
      </c>
      <c r="C36" s="91" t="s">
        <v>509</v>
      </c>
      <c r="D36" s="196" t="s">
        <v>918</v>
      </c>
      <c r="E36" s="92"/>
      <c r="F36" s="94"/>
    </row>
    <row r="37" spans="2:10" ht="63.75">
      <c r="B37" s="185">
        <v>5</v>
      </c>
      <c r="C37" s="91" t="s">
        <v>686</v>
      </c>
      <c r="D37" s="196" t="s">
        <v>918</v>
      </c>
      <c r="E37" s="92"/>
      <c r="F37" s="94"/>
    </row>
    <row r="38" spans="2:10" ht="25.5">
      <c r="B38" s="185">
        <v>6</v>
      </c>
      <c r="C38" s="91" t="s">
        <v>495</v>
      </c>
      <c r="D38" s="196" t="s">
        <v>918</v>
      </c>
      <c r="E38" s="92"/>
      <c r="F38" s="94"/>
    </row>
    <row r="39" spans="2:10" ht="38.25">
      <c r="B39" s="185">
        <v>7</v>
      </c>
      <c r="C39" s="91" t="s">
        <v>637</v>
      </c>
      <c r="D39" s="196" t="s">
        <v>918</v>
      </c>
      <c r="E39" s="92"/>
      <c r="F39" s="94"/>
    </row>
    <row r="40" spans="2:10" ht="25.5">
      <c r="B40" s="185">
        <v>8</v>
      </c>
      <c r="C40" s="91" t="s">
        <v>122</v>
      </c>
      <c r="D40" s="196" t="s">
        <v>918</v>
      </c>
      <c r="E40" s="92"/>
      <c r="F40" s="94"/>
    </row>
    <row r="41" spans="2:10" ht="51">
      <c r="B41" s="185">
        <v>9</v>
      </c>
      <c r="C41" s="91" t="s">
        <v>497</v>
      </c>
      <c r="D41" s="196" t="s">
        <v>918</v>
      </c>
      <c r="E41" s="92"/>
      <c r="F41" s="94"/>
    </row>
    <row r="42" spans="2:10" ht="63.75">
      <c r="B42" s="185">
        <v>10</v>
      </c>
      <c r="C42" s="91" t="s">
        <v>496</v>
      </c>
      <c r="D42" s="196" t="s">
        <v>918</v>
      </c>
      <c r="E42" s="92"/>
      <c r="F42" s="94"/>
    </row>
    <row r="43" spans="2:10" ht="51">
      <c r="B43" s="185">
        <v>11</v>
      </c>
      <c r="C43" s="91" t="s">
        <v>305</v>
      </c>
      <c r="D43" s="196" t="s">
        <v>918</v>
      </c>
      <c r="E43" s="92"/>
      <c r="F43" s="94"/>
    </row>
    <row r="44" spans="2:10" ht="51">
      <c r="B44" s="185">
        <v>12</v>
      </c>
      <c r="C44" s="126" t="s">
        <v>508</v>
      </c>
      <c r="D44" s="196" t="s">
        <v>918</v>
      </c>
      <c r="E44" s="119"/>
      <c r="F44" s="125"/>
    </row>
    <row r="45" spans="2:10" ht="13.5" thickBot="1">
      <c r="B45" s="96"/>
      <c r="C45" s="97"/>
      <c r="D45" s="98"/>
      <c r="E45" s="98"/>
      <c r="F45" s="99"/>
    </row>
    <row r="46" spans="2:10">
      <c r="B46" s="32"/>
      <c r="C46" s="35"/>
      <c r="J46" s="33"/>
    </row>
    <row r="47" spans="2:10">
      <c r="B47" s="32"/>
      <c r="C47" s="35"/>
      <c r="J47" s="33"/>
    </row>
    <row r="48" spans="2:10">
      <c r="B48" s="32"/>
      <c r="C48" s="35"/>
      <c r="J48" s="33"/>
    </row>
    <row r="49" spans="2:10" ht="14.25">
      <c r="B49" s="286" t="s">
        <v>706</v>
      </c>
      <c r="C49" s="287"/>
      <c r="D49" s="287"/>
      <c r="E49" s="287"/>
      <c r="F49" s="287"/>
      <c r="G49" s="287"/>
      <c r="H49" s="287"/>
      <c r="I49" s="287"/>
      <c r="J49" s="287"/>
    </row>
    <row r="50" spans="2:10" ht="38.25">
      <c r="B50" s="28"/>
      <c r="C50" s="28" t="s">
        <v>678</v>
      </c>
      <c r="D50" s="28"/>
      <c r="E50" s="28"/>
      <c r="F50" s="28"/>
      <c r="G50" s="28"/>
      <c r="H50" s="28"/>
      <c r="I50" s="28"/>
      <c r="J50" s="28"/>
    </row>
    <row r="51" spans="2:10">
      <c r="B51" s="32"/>
      <c r="C51" s="35" t="s">
        <v>679</v>
      </c>
      <c r="J51" s="33"/>
    </row>
  </sheetData>
  <mergeCells count="11">
    <mergeCell ref="B9:C9"/>
    <mergeCell ref="B10:C10"/>
    <mergeCell ref="B11:C11"/>
    <mergeCell ref="B49:J49"/>
    <mergeCell ref="B31:F31"/>
    <mergeCell ref="B8:C8"/>
    <mergeCell ref="B2:E2"/>
    <mergeCell ref="B3:C3"/>
    <mergeCell ref="B4:C4"/>
    <mergeCell ref="B6:C6"/>
    <mergeCell ref="B7:C7"/>
  </mergeCells>
  <dataValidations count="1">
    <dataValidation type="list" showInputMessage="1" showErrorMessage="1" sqref="D33:D44">
      <formula1>"TODO NATIVO, NATIVO Y DESARROLLO, DESARROLLO TOTAL"</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sheetPr>
    <tabColor rgb="FFFFC000"/>
  </sheetPr>
  <dimension ref="B1:J42"/>
  <sheetViews>
    <sheetView topLeftCell="A5" zoomScale="80" zoomScaleNormal="80" workbookViewId="0">
      <selection activeCell="C36" sqref="C36"/>
    </sheetView>
  </sheetViews>
  <sheetFormatPr defaultRowHeight="12.75"/>
  <cols>
    <col min="1" max="1" width="3.7109375" customWidth="1"/>
    <col min="2" max="2" width="5.7109375" customWidth="1"/>
    <col min="3" max="3" width="58.140625" customWidth="1"/>
    <col min="4" max="4" width="24.42578125" customWidth="1"/>
    <col min="5" max="5" width="14.140625" customWidth="1"/>
    <col min="6" max="6" width="14.7109375" customWidth="1"/>
    <col min="7" max="7" width="13.7109375" customWidth="1"/>
    <col min="8" max="8" width="14.140625" customWidth="1"/>
    <col min="9" max="9" width="16.5703125" customWidth="1"/>
    <col min="10" max="10" width="11.42578125"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25.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2:10" ht="13.5" hidden="1" customHeight="1">
      <c r="B17" s="207"/>
      <c r="C17" s="207"/>
      <c r="D17" s="79"/>
      <c r="E17" s="208"/>
      <c r="F17" s="79"/>
      <c r="G17" s="208"/>
      <c r="H17" s="79"/>
      <c r="J17" s="33"/>
    </row>
    <row r="18" spans="2:10" ht="13.5" hidden="1" customHeight="1">
      <c r="B18" s="207"/>
      <c r="C18" s="207"/>
      <c r="D18" s="79"/>
      <c r="E18" s="208"/>
      <c r="F18" s="79"/>
      <c r="G18" s="208"/>
      <c r="H18" s="79"/>
      <c r="J18" s="33"/>
    </row>
    <row r="19" spans="2:10" ht="13.5" hidden="1" customHeight="1">
      <c r="B19" s="207"/>
      <c r="C19" s="207"/>
      <c r="D19" s="79"/>
      <c r="E19" s="208"/>
      <c r="F19" s="79"/>
      <c r="G19" s="208"/>
      <c r="H19" s="79"/>
      <c r="J19" s="33"/>
    </row>
    <row r="20" spans="2:10" ht="13.5" hidden="1" customHeight="1">
      <c r="B20" s="207"/>
      <c r="C20" s="207"/>
      <c r="D20" s="79"/>
      <c r="E20" s="208"/>
      <c r="F20" s="79"/>
      <c r="G20" s="208"/>
      <c r="H20" s="79"/>
      <c r="J20" s="33"/>
    </row>
    <row r="21" spans="2:10" ht="13.5" hidden="1" customHeight="1">
      <c r="B21" s="207"/>
      <c r="C21" s="207"/>
      <c r="D21" s="79"/>
      <c r="E21" s="208"/>
      <c r="F21" s="79"/>
      <c r="G21" s="208"/>
      <c r="H21" s="79"/>
      <c r="J21" s="33"/>
    </row>
    <row r="22" spans="2:10" ht="13.5" hidden="1" customHeight="1">
      <c r="B22" s="207"/>
      <c r="C22" s="207"/>
      <c r="D22" s="79"/>
      <c r="E22" s="208"/>
      <c r="F22" s="79"/>
      <c r="G22" s="208"/>
      <c r="H22" s="79"/>
      <c r="J22" s="33"/>
    </row>
    <row r="23" spans="2:10" ht="13.5" hidden="1" customHeight="1">
      <c r="B23" s="207"/>
      <c r="C23" s="207"/>
      <c r="D23" s="79"/>
      <c r="E23" s="208"/>
      <c r="F23" s="79"/>
      <c r="G23" s="208"/>
      <c r="H23" s="79"/>
      <c r="J23" s="33"/>
    </row>
    <row r="24" spans="2:10" ht="13.5" hidden="1" customHeight="1">
      <c r="B24" s="207"/>
      <c r="C24" s="207"/>
      <c r="D24" s="79"/>
      <c r="E24" s="208"/>
      <c r="F24" s="79"/>
      <c r="G24" s="208"/>
      <c r="H24" s="79"/>
      <c r="J24" s="33"/>
    </row>
    <row r="25" spans="2:10" ht="13.5" hidden="1" customHeight="1">
      <c r="B25" s="207"/>
      <c r="C25" s="207"/>
      <c r="D25" s="79"/>
      <c r="E25" s="208"/>
      <c r="F25" s="79"/>
      <c r="G25" s="208"/>
      <c r="H25" s="79"/>
      <c r="J25" s="33"/>
    </row>
    <row r="26" spans="2:10" ht="13.5" hidden="1" customHeight="1">
      <c r="B26" s="207"/>
      <c r="C26" s="207"/>
      <c r="D26" s="79"/>
      <c r="E26" s="208"/>
      <c r="F26" s="79"/>
      <c r="G26" s="208"/>
      <c r="H26" s="79"/>
      <c r="J26" s="33"/>
    </row>
    <row r="27" spans="2:10" ht="13.5" hidden="1" customHeight="1">
      <c r="B27" s="207"/>
      <c r="C27" s="207"/>
      <c r="D27" s="79"/>
      <c r="E27" s="208"/>
      <c r="F27" s="79"/>
      <c r="G27" s="208"/>
      <c r="H27" s="79"/>
      <c r="J27" s="33"/>
    </row>
    <row r="28" spans="2:10" ht="13.5" hidden="1" customHeight="1">
      <c r="B28" s="207"/>
      <c r="C28" s="207"/>
      <c r="D28" s="79"/>
      <c r="E28" s="208"/>
      <c r="F28" s="79"/>
      <c r="G28" s="208"/>
      <c r="H28" s="79"/>
      <c r="J28" s="33"/>
    </row>
    <row r="29" spans="2:10" ht="13.5" hidden="1" customHeight="1">
      <c r="B29" s="207"/>
      <c r="C29" s="207"/>
      <c r="D29" s="79"/>
      <c r="E29" s="208"/>
      <c r="F29" s="79"/>
      <c r="G29" s="208"/>
      <c r="H29" s="79"/>
      <c r="J29" s="33"/>
    </row>
    <row r="30" spans="2:10" ht="13.5" thickBot="1">
      <c r="B30" s="224">
        <f>COUNT(B32:B300)</f>
        <v>3</v>
      </c>
      <c r="C30" s="35"/>
      <c r="J30" s="33"/>
    </row>
    <row r="31" spans="2:10" ht="14.25" customHeight="1" thickBot="1">
      <c r="B31" s="292" t="s">
        <v>704</v>
      </c>
      <c r="C31" s="293"/>
      <c r="D31" s="293"/>
      <c r="E31" s="293"/>
      <c r="F31" s="293"/>
    </row>
    <row r="32" spans="2:10" ht="25.5">
      <c r="B32" s="87"/>
      <c r="C32" s="88" t="s">
        <v>96</v>
      </c>
      <c r="D32" s="105" t="s">
        <v>917</v>
      </c>
      <c r="E32" s="89" t="s">
        <v>98</v>
      </c>
      <c r="F32" s="90" t="s">
        <v>709</v>
      </c>
    </row>
    <row r="33" spans="2:10" ht="89.25">
      <c r="B33" s="102">
        <v>1</v>
      </c>
      <c r="C33" s="91" t="s">
        <v>218</v>
      </c>
      <c r="D33" s="196" t="s">
        <v>918</v>
      </c>
      <c r="E33" s="92"/>
      <c r="F33" s="94"/>
    </row>
    <row r="34" spans="2:10" ht="63.75">
      <c r="B34" s="102">
        <v>2</v>
      </c>
      <c r="C34" s="91" t="s">
        <v>618</v>
      </c>
      <c r="D34" s="196" t="s">
        <v>918</v>
      </c>
      <c r="E34" s="92"/>
      <c r="F34" s="93"/>
    </row>
    <row r="35" spans="2:10" ht="76.5">
      <c r="B35" s="118">
        <v>3</v>
      </c>
      <c r="C35" s="126" t="s">
        <v>733</v>
      </c>
      <c r="D35" s="196" t="s">
        <v>918</v>
      </c>
      <c r="E35" s="119"/>
      <c r="F35" s="120"/>
    </row>
    <row r="36" spans="2:10" ht="13.5" thickBot="1">
      <c r="B36" s="96"/>
      <c r="C36" s="97"/>
      <c r="D36" s="98"/>
      <c r="E36" s="98"/>
      <c r="F36" s="99"/>
    </row>
    <row r="37" spans="2:10">
      <c r="B37" s="32"/>
      <c r="C37" s="35"/>
      <c r="J37" s="33"/>
    </row>
    <row r="38" spans="2:10">
      <c r="B38" s="32"/>
      <c r="C38" s="35"/>
      <c r="J38" s="33"/>
    </row>
    <row r="39" spans="2:10">
      <c r="B39" s="32"/>
      <c r="C39" s="35"/>
      <c r="J39" s="33"/>
    </row>
    <row r="40" spans="2:10" ht="14.25">
      <c r="B40" s="286" t="s">
        <v>706</v>
      </c>
      <c r="C40" s="287"/>
      <c r="D40" s="287"/>
      <c r="E40" s="287"/>
      <c r="F40" s="287"/>
      <c r="G40" s="287"/>
      <c r="H40" s="287"/>
      <c r="I40" s="287"/>
      <c r="J40" s="287"/>
    </row>
    <row r="41" spans="2:10" ht="38.25">
      <c r="B41" s="28"/>
      <c r="C41" s="28" t="s">
        <v>678</v>
      </c>
      <c r="D41" s="28"/>
      <c r="E41" s="28"/>
      <c r="F41" s="28"/>
      <c r="G41" s="28"/>
      <c r="H41" s="28"/>
      <c r="I41" s="28"/>
      <c r="J41" s="28"/>
    </row>
    <row r="42" spans="2:10">
      <c r="B42" s="32"/>
      <c r="C42" s="35" t="s">
        <v>679</v>
      </c>
      <c r="J42" s="33"/>
    </row>
  </sheetData>
  <mergeCells count="11">
    <mergeCell ref="B9:C9"/>
    <mergeCell ref="B10:C10"/>
    <mergeCell ref="B11:C11"/>
    <mergeCell ref="B40:J40"/>
    <mergeCell ref="B31:F31"/>
    <mergeCell ref="B8:C8"/>
    <mergeCell ref="B2:E2"/>
    <mergeCell ref="B3:C3"/>
    <mergeCell ref="B4:C4"/>
    <mergeCell ref="B6:C6"/>
    <mergeCell ref="B7:C7"/>
  </mergeCells>
  <dataValidations count="1">
    <dataValidation type="list" showInputMessage="1" showErrorMessage="1" sqref="D33:D35">
      <formula1>"TODO NATIVO, NATIVO Y DESARROLLO, DESARROLLO TOTAL"</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sheetPr>
    <tabColor rgb="FFFFC000"/>
  </sheetPr>
  <dimension ref="A1:J44"/>
  <sheetViews>
    <sheetView zoomScale="85" zoomScaleNormal="85" workbookViewId="0">
      <selection activeCell="C38" sqref="C38"/>
    </sheetView>
  </sheetViews>
  <sheetFormatPr defaultRowHeight="12.75"/>
  <cols>
    <col min="1" max="1" width="2.85546875" customWidth="1"/>
    <col min="3" max="3" width="68.28515625" customWidth="1"/>
    <col min="4" max="4" width="20.28515625" customWidth="1"/>
    <col min="5" max="5" width="14" customWidth="1"/>
    <col min="6" max="6" width="14.5703125" customWidth="1"/>
    <col min="7" max="8" width="14" customWidth="1"/>
    <col min="9" max="9" width="17.42578125" bestFit="1" customWidth="1"/>
    <col min="10" max="10" width="11.42578125" bestFit="1" customWidth="1"/>
  </cols>
  <sheetData>
    <row r="1" spans="2:10" ht="13.5" thickBot="1">
      <c r="B1" s="32"/>
      <c r="C1" s="35"/>
      <c r="J1" s="33"/>
    </row>
    <row r="2" spans="2:10" ht="15" thickBot="1">
      <c r="B2" s="281" t="s">
        <v>718</v>
      </c>
      <c r="C2" s="282"/>
      <c r="D2" s="282"/>
      <c r="E2" s="283"/>
      <c r="F2" s="82"/>
      <c r="J2" s="33"/>
    </row>
    <row r="3" spans="2:10" ht="25.5">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25.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2:10" ht="13.5" hidden="1" customHeight="1">
      <c r="B17" s="207"/>
      <c r="C17" s="207"/>
      <c r="D17" s="79"/>
      <c r="E17" s="208"/>
      <c r="F17" s="79"/>
      <c r="G17" s="208"/>
      <c r="H17" s="79"/>
      <c r="J17" s="33"/>
    </row>
    <row r="18" spans="2:10" ht="13.5" hidden="1" customHeight="1">
      <c r="B18" s="207"/>
      <c r="C18" s="207"/>
      <c r="D18" s="79"/>
      <c r="E18" s="208"/>
      <c r="F18" s="79"/>
      <c r="G18" s="208"/>
      <c r="H18" s="79"/>
      <c r="J18" s="33"/>
    </row>
    <row r="19" spans="2:10" ht="13.5" hidden="1" customHeight="1">
      <c r="B19" s="207"/>
      <c r="C19" s="207"/>
      <c r="D19" s="79"/>
      <c r="E19" s="208"/>
      <c r="F19" s="79"/>
      <c r="G19" s="208"/>
      <c r="H19" s="79"/>
      <c r="J19" s="33"/>
    </row>
    <row r="20" spans="2:10" ht="13.5" hidden="1" customHeight="1">
      <c r="B20" s="207"/>
      <c r="C20" s="207"/>
      <c r="D20" s="79"/>
      <c r="E20" s="208"/>
      <c r="F20" s="79"/>
      <c r="G20" s="208"/>
      <c r="H20" s="79"/>
      <c r="J20" s="33"/>
    </row>
    <row r="21" spans="2:10" ht="13.5" hidden="1" customHeight="1">
      <c r="B21" s="207"/>
      <c r="C21" s="207"/>
      <c r="D21" s="79"/>
      <c r="E21" s="208"/>
      <c r="F21" s="79"/>
      <c r="G21" s="208"/>
      <c r="H21" s="79"/>
      <c r="J21" s="33"/>
    </row>
    <row r="22" spans="2:10" ht="13.5" hidden="1" customHeight="1">
      <c r="B22" s="207"/>
      <c r="C22" s="207"/>
      <c r="D22" s="79"/>
      <c r="E22" s="208"/>
      <c r="F22" s="79"/>
      <c r="G22" s="208"/>
      <c r="H22" s="79"/>
      <c r="J22" s="33"/>
    </row>
    <row r="23" spans="2:10" ht="13.5" hidden="1" customHeight="1">
      <c r="B23" s="207"/>
      <c r="C23" s="207"/>
      <c r="D23" s="79"/>
      <c r="E23" s="208"/>
      <c r="F23" s="79"/>
      <c r="G23" s="208"/>
      <c r="H23" s="79"/>
      <c r="J23" s="33"/>
    </row>
    <row r="24" spans="2:10" ht="13.5" hidden="1" customHeight="1">
      <c r="B24" s="207"/>
      <c r="C24" s="207"/>
      <c r="D24" s="79"/>
      <c r="E24" s="208"/>
      <c r="F24" s="79"/>
      <c r="G24" s="208"/>
      <c r="H24" s="79"/>
      <c r="J24" s="33"/>
    </row>
    <row r="25" spans="2:10" ht="13.5" hidden="1" customHeight="1">
      <c r="B25" s="207"/>
      <c r="C25" s="207"/>
      <c r="D25" s="79"/>
      <c r="E25" s="208"/>
      <c r="F25" s="79"/>
      <c r="G25" s="208"/>
      <c r="H25" s="79"/>
      <c r="J25" s="33"/>
    </row>
    <row r="26" spans="2:10" ht="13.5" hidden="1" customHeight="1">
      <c r="B26" s="207"/>
      <c r="C26" s="207"/>
      <c r="D26" s="79"/>
      <c r="E26" s="208"/>
      <c r="F26" s="79"/>
      <c r="G26" s="208"/>
      <c r="H26" s="79"/>
      <c r="J26" s="33"/>
    </row>
    <row r="27" spans="2:10" ht="13.5" hidden="1" customHeight="1">
      <c r="B27" s="207"/>
      <c r="C27" s="207"/>
      <c r="D27" s="79"/>
      <c r="E27" s="208"/>
      <c r="F27" s="79"/>
      <c r="G27" s="208"/>
      <c r="H27" s="79"/>
      <c r="J27" s="33"/>
    </row>
    <row r="28" spans="2:10" ht="13.5" hidden="1" customHeight="1">
      <c r="B28" s="207"/>
      <c r="C28" s="207"/>
      <c r="D28" s="79"/>
      <c r="E28" s="208"/>
      <c r="F28" s="79"/>
      <c r="G28" s="208"/>
      <c r="H28" s="79"/>
      <c r="J28" s="33"/>
    </row>
    <row r="29" spans="2:10" ht="13.5" hidden="1" customHeight="1">
      <c r="B29" s="207"/>
      <c r="C29" s="207"/>
      <c r="D29" s="79"/>
      <c r="E29" s="208"/>
      <c r="F29" s="79"/>
      <c r="G29" s="208"/>
      <c r="H29" s="79"/>
      <c r="J29" s="33"/>
    </row>
    <row r="30" spans="2:10" ht="13.5" thickBot="1">
      <c r="B30" s="224">
        <f>COUNT(B32:B300)</f>
        <v>5</v>
      </c>
      <c r="C30" s="35"/>
      <c r="J30" s="33"/>
    </row>
    <row r="31" spans="2:10" ht="14.25" customHeight="1" thickBot="1">
      <c r="B31" s="292" t="s">
        <v>704</v>
      </c>
      <c r="C31" s="293"/>
      <c r="D31" s="293"/>
      <c r="E31" s="293"/>
      <c r="F31" s="293"/>
    </row>
    <row r="32" spans="2:10" ht="25.5">
      <c r="B32" s="87"/>
      <c r="C32" s="88" t="s">
        <v>96</v>
      </c>
      <c r="D32" s="105" t="s">
        <v>917</v>
      </c>
      <c r="E32" s="89" t="s">
        <v>98</v>
      </c>
      <c r="F32" s="90" t="s">
        <v>709</v>
      </c>
    </row>
    <row r="33" spans="1:10" ht="38.25">
      <c r="A33" s="86"/>
      <c r="B33" s="185">
        <v>1</v>
      </c>
      <c r="C33" s="95" t="s">
        <v>577</v>
      </c>
      <c r="D33" s="196" t="s">
        <v>918</v>
      </c>
      <c r="E33" s="92"/>
      <c r="F33" s="93"/>
    </row>
    <row r="34" spans="1:10" ht="51">
      <c r="A34" s="86"/>
      <c r="B34" s="185">
        <v>2</v>
      </c>
      <c r="C34" s="95" t="s">
        <v>574</v>
      </c>
      <c r="D34" s="196" t="s">
        <v>918</v>
      </c>
      <c r="E34" s="92"/>
      <c r="F34" s="93"/>
    </row>
    <row r="35" spans="1:10" ht="25.5">
      <c r="A35" s="86"/>
      <c r="B35" s="185">
        <v>3</v>
      </c>
      <c r="C35" s="95" t="s">
        <v>575</v>
      </c>
      <c r="D35" s="196" t="s">
        <v>918</v>
      </c>
      <c r="E35" s="92"/>
      <c r="F35" s="93"/>
    </row>
    <row r="36" spans="1:10" ht="38.25">
      <c r="A36" s="86"/>
      <c r="B36" s="185">
        <v>4</v>
      </c>
      <c r="C36" s="95" t="s">
        <v>576</v>
      </c>
      <c r="D36" s="196" t="s">
        <v>918</v>
      </c>
      <c r="E36" s="92"/>
      <c r="F36" s="93"/>
    </row>
    <row r="37" spans="1:10" ht="51">
      <c r="A37" s="86"/>
      <c r="B37" s="198">
        <v>5</v>
      </c>
      <c r="C37" s="122" t="s">
        <v>578</v>
      </c>
      <c r="D37" s="196" t="s">
        <v>918</v>
      </c>
      <c r="E37" s="119"/>
      <c r="F37" s="125"/>
    </row>
    <row r="38" spans="1:10" ht="13.5" thickBot="1">
      <c r="B38" s="96"/>
      <c r="C38" s="97"/>
      <c r="D38" s="98"/>
      <c r="E38" s="98"/>
      <c r="F38" s="99"/>
    </row>
    <row r="39" spans="1:10">
      <c r="B39" s="32"/>
      <c r="C39" s="35"/>
      <c r="J39" s="33"/>
    </row>
    <row r="40" spans="1:10">
      <c r="B40" s="32"/>
      <c r="C40" s="35"/>
      <c r="J40" s="33"/>
    </row>
    <row r="41" spans="1:10">
      <c r="B41" s="32"/>
      <c r="C41" s="35"/>
      <c r="J41" s="33"/>
    </row>
    <row r="42" spans="1:10" ht="14.25">
      <c r="B42" s="286" t="s">
        <v>706</v>
      </c>
      <c r="C42" s="287"/>
      <c r="D42" s="287"/>
      <c r="E42" s="287"/>
      <c r="F42" s="287"/>
      <c r="G42" s="287"/>
      <c r="H42" s="287"/>
      <c r="I42" s="287"/>
      <c r="J42" s="287"/>
    </row>
    <row r="43" spans="1:10" ht="38.25">
      <c r="B43" s="28"/>
      <c r="C43" s="28" t="s">
        <v>678</v>
      </c>
      <c r="D43" s="28"/>
      <c r="E43" s="28"/>
      <c r="F43" s="28"/>
      <c r="G43" s="28"/>
      <c r="H43" s="28"/>
      <c r="I43" s="28"/>
      <c r="J43" s="28"/>
    </row>
    <row r="44" spans="1:10">
      <c r="B44" s="32"/>
      <c r="C44" s="35" t="s">
        <v>679</v>
      </c>
      <c r="J44" s="33"/>
    </row>
  </sheetData>
  <mergeCells count="11">
    <mergeCell ref="B9:C9"/>
    <mergeCell ref="B10:C10"/>
    <mergeCell ref="B11:C11"/>
    <mergeCell ref="B42:J42"/>
    <mergeCell ref="B31:F31"/>
    <mergeCell ref="B8:C8"/>
    <mergeCell ref="B2:E2"/>
    <mergeCell ref="B3:C3"/>
    <mergeCell ref="B4:C4"/>
    <mergeCell ref="B6:C6"/>
    <mergeCell ref="B7:C7"/>
  </mergeCells>
  <dataValidations count="1">
    <dataValidation type="list" showInputMessage="1" showErrorMessage="1" sqref="D33:D37">
      <formula1>"TODO NATIVO, NATIVO Y DESARROLLO, DESARROLLO TOTAL"</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0"/>
  </sheetPr>
  <dimension ref="B2:G43"/>
  <sheetViews>
    <sheetView topLeftCell="A39" zoomScale="85" zoomScaleNormal="85" workbookViewId="0">
      <selection activeCell="C47" sqref="C47"/>
    </sheetView>
  </sheetViews>
  <sheetFormatPr defaultRowHeight="12.75"/>
  <cols>
    <col min="1" max="1" width="3.28515625" customWidth="1"/>
    <col min="2" max="2" width="44.140625" customWidth="1"/>
    <col min="3" max="3" width="21.5703125" customWidth="1"/>
    <col min="4" max="4" width="14.42578125" customWidth="1"/>
    <col min="5" max="5" width="21.7109375" customWidth="1"/>
    <col min="6" max="6" width="14.5703125" customWidth="1"/>
    <col min="7" max="7" width="34.28515625" customWidth="1"/>
  </cols>
  <sheetData>
    <row r="2" spans="2:7" ht="14.25">
      <c r="B2" s="271" t="s">
        <v>702</v>
      </c>
      <c r="C2" s="271"/>
      <c r="D2" s="271"/>
      <c r="E2" s="271"/>
      <c r="F2" s="271"/>
      <c r="G2" s="271"/>
    </row>
    <row r="3" spans="2:7">
      <c r="F3" s="65"/>
      <c r="G3" s="65"/>
    </row>
    <row r="4" spans="2:7">
      <c r="B4" t="s">
        <v>707</v>
      </c>
      <c r="F4" s="65"/>
      <c r="G4" s="65"/>
    </row>
    <row r="5" spans="2:7">
      <c r="F5" s="65"/>
      <c r="G5" s="65"/>
    </row>
    <row r="6" spans="2:7">
      <c r="B6" t="s">
        <v>878</v>
      </c>
      <c r="F6" s="65"/>
      <c r="G6" s="65"/>
    </row>
    <row r="7" spans="2:7">
      <c r="B7" t="s">
        <v>879</v>
      </c>
      <c r="F7" s="65"/>
      <c r="G7" s="65"/>
    </row>
    <row r="8" spans="2:7">
      <c r="B8" t="s">
        <v>880</v>
      </c>
      <c r="F8" s="65"/>
      <c r="G8" s="65"/>
    </row>
    <row r="9" spans="2:7">
      <c r="F9" s="65"/>
      <c r="G9" s="65"/>
    </row>
    <row r="10" spans="2:7">
      <c r="F10" s="65"/>
      <c r="G10" s="65"/>
    </row>
    <row r="11" spans="2:7" ht="40.5" customHeight="1">
      <c r="B11" s="275" t="s">
        <v>714</v>
      </c>
      <c r="C11" s="275"/>
      <c r="D11" s="275"/>
      <c r="E11" s="275"/>
      <c r="F11" s="275"/>
      <c r="G11" s="275"/>
    </row>
    <row r="12" spans="2:7">
      <c r="F12" s="65"/>
      <c r="G12" s="65"/>
    </row>
    <row r="13" spans="2:7" ht="15" thickBot="1">
      <c r="B13" s="271" t="s">
        <v>717</v>
      </c>
      <c r="C13" s="271"/>
      <c r="D13" s="271"/>
      <c r="E13" s="271"/>
      <c r="F13" s="271"/>
      <c r="G13" s="271"/>
    </row>
    <row r="14" spans="2:7" ht="25.5">
      <c r="B14" s="76" t="s">
        <v>688</v>
      </c>
      <c r="C14" s="151"/>
      <c r="D14" s="151"/>
      <c r="E14" s="151"/>
      <c r="F14" s="66" t="s">
        <v>690</v>
      </c>
      <c r="G14" s="67" t="s">
        <v>691</v>
      </c>
    </row>
    <row r="15" spans="2:7" ht="26.25" thickBot="1">
      <c r="B15" s="75" t="s">
        <v>701</v>
      </c>
      <c r="C15" s="152"/>
      <c r="D15" s="152"/>
      <c r="E15" s="152"/>
      <c r="F15" s="71" t="s">
        <v>700</v>
      </c>
      <c r="G15" s="72" t="s">
        <v>692</v>
      </c>
    </row>
    <row r="16" spans="2:7">
      <c r="B16" s="79"/>
      <c r="C16" s="79"/>
      <c r="D16" s="79"/>
      <c r="E16" s="79"/>
      <c r="F16" s="79"/>
      <c r="G16" s="79"/>
    </row>
    <row r="17" spans="2:7" ht="81.75" customHeight="1">
      <c r="B17" s="275" t="s">
        <v>863</v>
      </c>
      <c r="C17" s="275"/>
      <c r="D17" s="275"/>
      <c r="E17" s="275"/>
      <c r="F17" s="275"/>
      <c r="G17" s="275"/>
    </row>
    <row r="18" spans="2:7" ht="13.5" thickBot="1">
      <c r="B18" s="35"/>
      <c r="C18" s="35"/>
      <c r="D18" s="35"/>
      <c r="E18" s="35"/>
      <c r="F18" s="69"/>
      <c r="G18" s="70"/>
    </row>
    <row r="19" spans="2:7" ht="76.5">
      <c r="B19" s="76" t="s">
        <v>689</v>
      </c>
      <c r="C19" s="153" t="s">
        <v>861</v>
      </c>
      <c r="D19" s="67" t="s">
        <v>862</v>
      </c>
      <c r="E19" s="153" t="s">
        <v>860</v>
      </c>
      <c r="F19" s="67" t="s">
        <v>862</v>
      </c>
      <c r="G19" s="67" t="s">
        <v>694</v>
      </c>
    </row>
    <row r="20" spans="2:7">
      <c r="B20" s="74" t="s">
        <v>693</v>
      </c>
      <c r="C20" s="154" t="s">
        <v>695</v>
      </c>
      <c r="D20" s="155"/>
      <c r="E20" s="154" t="s">
        <v>695</v>
      </c>
      <c r="F20" s="155"/>
      <c r="G20" s="73" t="s">
        <v>692</v>
      </c>
    </row>
    <row r="21" spans="2:7">
      <c r="B21" s="74" t="s">
        <v>696</v>
      </c>
      <c r="C21" s="154" t="s">
        <v>695</v>
      </c>
      <c r="D21" s="155"/>
      <c r="E21" s="154" t="s">
        <v>695</v>
      </c>
      <c r="F21" s="155"/>
      <c r="G21" s="73" t="s">
        <v>692</v>
      </c>
    </row>
    <row r="22" spans="2:7">
      <c r="B22" s="74" t="s">
        <v>697</v>
      </c>
      <c r="C22" s="154" t="s">
        <v>695</v>
      </c>
      <c r="D22" s="155"/>
      <c r="E22" s="154" t="s">
        <v>695</v>
      </c>
      <c r="F22" s="155"/>
      <c r="G22" s="73" t="s">
        <v>692</v>
      </c>
    </row>
    <row r="23" spans="2:7">
      <c r="B23" s="74" t="s">
        <v>698</v>
      </c>
      <c r="C23" s="154" t="s">
        <v>695</v>
      </c>
      <c r="D23" s="155"/>
      <c r="E23" s="154" t="s">
        <v>695</v>
      </c>
      <c r="F23" s="155"/>
      <c r="G23" s="73" t="s">
        <v>692</v>
      </c>
    </row>
    <row r="24" spans="2:7" ht="13.5" thickBot="1">
      <c r="B24" s="68" t="s">
        <v>699</v>
      </c>
      <c r="C24" s="156" t="s">
        <v>695</v>
      </c>
      <c r="D24" s="157"/>
      <c r="E24" s="156" t="s">
        <v>695</v>
      </c>
      <c r="F24" s="157"/>
      <c r="G24" s="72" t="s">
        <v>692</v>
      </c>
    </row>
    <row r="26" spans="2:7" ht="81.75" customHeight="1">
      <c r="B26" s="275" t="s">
        <v>937</v>
      </c>
      <c r="C26" s="275"/>
      <c r="D26" s="275"/>
      <c r="E26" s="275"/>
      <c r="F26" s="275"/>
      <c r="G26" s="275"/>
    </row>
    <row r="27" spans="2:7" ht="13.5" thickBot="1"/>
    <row r="28" spans="2:7" ht="14.25">
      <c r="B28" s="272" t="s">
        <v>931</v>
      </c>
      <c r="C28" s="273"/>
      <c r="D28" s="273"/>
      <c r="E28" s="273"/>
      <c r="F28" s="273"/>
      <c r="G28" s="274"/>
    </row>
    <row r="29" spans="2:7" ht="38.25" customHeight="1">
      <c r="B29" s="349"/>
      <c r="C29" s="350" t="s">
        <v>703</v>
      </c>
      <c r="D29" s="350"/>
      <c r="E29" s="350" t="s">
        <v>705</v>
      </c>
      <c r="F29" s="350"/>
      <c r="G29" s="351"/>
    </row>
    <row r="30" spans="2:7" ht="79.5" customHeight="1">
      <c r="B30" s="344" t="s">
        <v>923</v>
      </c>
      <c r="C30" s="341" t="s">
        <v>925</v>
      </c>
      <c r="D30" s="341"/>
      <c r="E30" s="341" t="s">
        <v>927</v>
      </c>
      <c r="F30" s="342"/>
      <c r="G30" s="343"/>
    </row>
    <row r="31" spans="2:7" ht="104.25" customHeight="1">
      <c r="B31" s="344" t="s">
        <v>924</v>
      </c>
      <c r="C31" s="341" t="s">
        <v>926</v>
      </c>
      <c r="D31" s="341"/>
      <c r="E31" s="341" t="s">
        <v>928</v>
      </c>
      <c r="F31" s="342"/>
      <c r="G31" s="343"/>
    </row>
    <row r="32" spans="2:7" ht="140.25" customHeight="1">
      <c r="B32" s="344" t="s">
        <v>918</v>
      </c>
      <c r="C32" s="341" t="s">
        <v>929</v>
      </c>
      <c r="D32" s="341"/>
      <c r="E32" s="341" t="s">
        <v>928</v>
      </c>
      <c r="F32" s="342"/>
      <c r="G32" s="343"/>
    </row>
    <row r="33" spans="2:7" ht="114.75" customHeight="1">
      <c r="B33" s="352" t="s">
        <v>98</v>
      </c>
      <c r="C33" s="341" t="s">
        <v>710</v>
      </c>
      <c r="D33" s="341"/>
      <c r="E33" s="341" t="s">
        <v>711</v>
      </c>
      <c r="F33" s="342"/>
      <c r="G33" s="343"/>
    </row>
    <row r="34" spans="2:7" ht="128.25" customHeight="1" thickBot="1">
      <c r="B34" s="353" t="s">
        <v>709</v>
      </c>
      <c r="C34" s="346" t="s">
        <v>712</v>
      </c>
      <c r="D34" s="346"/>
      <c r="E34" s="346" t="s">
        <v>711</v>
      </c>
      <c r="F34" s="347"/>
      <c r="G34" s="348"/>
    </row>
    <row r="35" spans="2:7" s="218" customFormat="1" ht="17.25" customHeight="1" thickBot="1">
      <c r="B35" s="337"/>
      <c r="C35" s="338"/>
      <c r="D35" s="338"/>
      <c r="E35" s="338"/>
      <c r="F35" s="339"/>
      <c r="G35" s="339"/>
    </row>
    <row r="36" spans="2:7" ht="14.25">
      <c r="B36" s="272" t="s">
        <v>932</v>
      </c>
      <c r="C36" s="273"/>
      <c r="D36" s="273"/>
      <c r="E36" s="273"/>
      <c r="F36" s="273"/>
      <c r="G36" s="274"/>
    </row>
    <row r="37" spans="2:7" ht="128.25" customHeight="1">
      <c r="B37" s="340" t="s">
        <v>919</v>
      </c>
      <c r="C37" s="341" t="s">
        <v>933</v>
      </c>
      <c r="D37" s="341"/>
      <c r="E37" s="341" t="s">
        <v>711</v>
      </c>
      <c r="F37" s="342"/>
      <c r="G37" s="343"/>
    </row>
    <row r="38" spans="2:7" ht="128.25" customHeight="1">
      <c r="B38" s="344" t="s">
        <v>934</v>
      </c>
      <c r="C38" s="341" t="s">
        <v>935</v>
      </c>
      <c r="D38" s="341"/>
      <c r="E38" s="341" t="s">
        <v>928</v>
      </c>
      <c r="F38" s="342"/>
      <c r="G38" s="343"/>
    </row>
    <row r="39" spans="2:7" ht="126" customHeight="1" thickBot="1">
      <c r="B39" s="345" t="s">
        <v>904</v>
      </c>
      <c r="C39" s="346" t="s">
        <v>936</v>
      </c>
      <c r="D39" s="346"/>
      <c r="E39" s="346" t="s">
        <v>711</v>
      </c>
      <c r="F39" s="347"/>
      <c r="G39" s="348"/>
    </row>
    <row r="40" spans="2:7" ht="13.5" thickBot="1"/>
    <row r="41" spans="2:7" ht="14.25">
      <c r="B41" s="272" t="s">
        <v>706</v>
      </c>
      <c r="C41" s="273"/>
      <c r="D41" s="273"/>
      <c r="E41" s="273"/>
      <c r="F41" s="273"/>
      <c r="G41" s="274"/>
    </row>
    <row r="42" spans="2:7" ht="38.25" customHeight="1">
      <c r="B42" s="149"/>
      <c r="C42" s="269" t="s">
        <v>703</v>
      </c>
      <c r="D42" s="269"/>
      <c r="E42" s="267" t="s">
        <v>705</v>
      </c>
      <c r="F42" s="267"/>
      <c r="G42" s="268"/>
    </row>
    <row r="43" spans="2:7" ht="93" customHeight="1" thickBot="1">
      <c r="B43" s="158" t="s">
        <v>713</v>
      </c>
      <c r="C43" s="266" t="s">
        <v>715</v>
      </c>
      <c r="D43" s="266"/>
      <c r="E43" s="270" t="s">
        <v>711</v>
      </c>
      <c r="F43" s="270"/>
      <c r="G43" s="276"/>
    </row>
  </sheetData>
  <mergeCells count="30">
    <mergeCell ref="C39:D39"/>
    <mergeCell ref="E39:G39"/>
    <mergeCell ref="C38:D38"/>
    <mergeCell ref="E38:G38"/>
    <mergeCell ref="B36:G36"/>
    <mergeCell ref="C37:D37"/>
    <mergeCell ref="E37:G37"/>
    <mergeCell ref="C42:D42"/>
    <mergeCell ref="C43:D43"/>
    <mergeCell ref="E42:G42"/>
    <mergeCell ref="E43:G43"/>
    <mergeCell ref="B41:G41"/>
    <mergeCell ref="B13:G13"/>
    <mergeCell ref="B2:G2"/>
    <mergeCell ref="B28:G28"/>
    <mergeCell ref="B26:G26"/>
    <mergeCell ref="B11:G11"/>
    <mergeCell ref="B17:G17"/>
    <mergeCell ref="C33:D33"/>
    <mergeCell ref="C34:D34"/>
    <mergeCell ref="E29:G29"/>
    <mergeCell ref="C29:D29"/>
    <mergeCell ref="C30:D30"/>
    <mergeCell ref="C31:D31"/>
    <mergeCell ref="C32:D32"/>
    <mergeCell ref="E30:G30"/>
    <mergeCell ref="E31:G31"/>
    <mergeCell ref="E32:G32"/>
    <mergeCell ref="E33:G33"/>
    <mergeCell ref="E34:G3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sheetPr>
    <tabColor rgb="FFFFC000"/>
  </sheetPr>
  <dimension ref="A1:J60"/>
  <sheetViews>
    <sheetView topLeftCell="A43" zoomScale="70" zoomScaleNormal="70" workbookViewId="0">
      <selection activeCell="C54" sqref="C54"/>
    </sheetView>
  </sheetViews>
  <sheetFormatPr defaultRowHeight="12.75"/>
  <cols>
    <col min="1" max="1" width="4" customWidth="1"/>
    <col min="3" max="3" width="71.42578125" customWidth="1"/>
    <col min="4" max="4" width="22.28515625" customWidth="1"/>
    <col min="5" max="5" width="16.5703125" customWidth="1"/>
    <col min="6" max="6" width="13.7109375" customWidth="1"/>
    <col min="7" max="7" width="13.85546875" customWidth="1"/>
    <col min="8" max="8" width="13.7109375" customWidth="1"/>
    <col min="9" max="9" width="16.7109375" bestFit="1" customWidth="1"/>
    <col min="10" max="10" width="11.5703125" bestFit="1" customWidth="1"/>
  </cols>
  <sheetData>
    <row r="1" spans="2:10" ht="13.5" thickBot="1">
      <c r="B1" s="32"/>
      <c r="C1" s="35"/>
      <c r="J1" s="33"/>
    </row>
    <row r="2" spans="2:10" ht="15" thickBot="1">
      <c r="B2" s="281" t="s">
        <v>718</v>
      </c>
      <c r="C2" s="282"/>
      <c r="D2" s="282"/>
      <c r="E2" s="283"/>
      <c r="F2" s="82"/>
      <c r="J2" s="33"/>
    </row>
    <row r="3" spans="2:10">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25.5" customHeight="1">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2:10" ht="13.5" hidden="1" customHeight="1">
      <c r="B17" s="207"/>
      <c r="C17" s="207"/>
      <c r="D17" s="79"/>
      <c r="E17" s="208"/>
      <c r="F17" s="79"/>
      <c r="G17" s="208"/>
      <c r="H17" s="79"/>
      <c r="J17" s="33"/>
    </row>
    <row r="18" spans="2:10" ht="13.5" hidden="1" customHeight="1">
      <c r="B18" s="207"/>
      <c r="C18" s="207"/>
      <c r="D18" s="79"/>
      <c r="E18" s="208"/>
      <c r="F18" s="79"/>
      <c r="G18" s="208"/>
      <c r="H18" s="79"/>
      <c r="J18" s="33"/>
    </row>
    <row r="19" spans="2:10" ht="13.5" hidden="1" customHeight="1">
      <c r="B19" s="207"/>
      <c r="C19" s="207"/>
      <c r="D19" s="79"/>
      <c r="E19" s="208"/>
      <c r="F19" s="79"/>
      <c r="G19" s="208"/>
      <c r="H19" s="79"/>
      <c r="J19" s="33"/>
    </row>
    <row r="20" spans="2:10" ht="13.5" hidden="1" customHeight="1">
      <c r="B20" s="207"/>
      <c r="C20" s="207"/>
      <c r="D20" s="79"/>
      <c r="E20" s="208"/>
      <c r="F20" s="79"/>
      <c r="G20" s="208"/>
      <c r="H20" s="79"/>
      <c r="J20" s="33"/>
    </row>
    <row r="21" spans="2:10" ht="13.5" hidden="1" customHeight="1">
      <c r="B21" s="207"/>
      <c r="C21" s="207"/>
      <c r="D21" s="79"/>
      <c r="E21" s="208"/>
      <c r="F21" s="79"/>
      <c r="G21" s="208"/>
      <c r="H21" s="79"/>
      <c r="J21" s="33"/>
    </row>
    <row r="22" spans="2:10" ht="13.5" hidden="1" customHeight="1">
      <c r="B22" s="207"/>
      <c r="C22" s="207"/>
      <c r="D22" s="79"/>
      <c r="E22" s="208"/>
      <c r="F22" s="79"/>
      <c r="G22" s="208"/>
      <c r="H22" s="79"/>
      <c r="J22" s="33"/>
    </row>
    <row r="23" spans="2:10" ht="13.5" hidden="1" customHeight="1">
      <c r="B23" s="207"/>
      <c r="C23" s="207"/>
      <c r="D23" s="79"/>
      <c r="E23" s="208"/>
      <c r="F23" s="79"/>
      <c r="G23" s="208"/>
      <c r="H23" s="79"/>
      <c r="J23" s="33"/>
    </row>
    <row r="24" spans="2:10" ht="13.5" hidden="1" customHeight="1">
      <c r="B24" s="207"/>
      <c r="C24" s="207"/>
      <c r="D24" s="79"/>
      <c r="E24" s="208"/>
      <c r="F24" s="79"/>
      <c r="G24" s="208"/>
      <c r="H24" s="79"/>
      <c r="J24" s="33"/>
    </row>
    <row r="25" spans="2:10" ht="13.5" hidden="1" customHeight="1">
      <c r="B25" s="207"/>
      <c r="C25" s="207"/>
      <c r="D25" s="79"/>
      <c r="E25" s="208"/>
      <c r="F25" s="79"/>
      <c r="G25" s="208"/>
      <c r="H25" s="79"/>
      <c r="J25" s="33"/>
    </row>
    <row r="26" spans="2:10" ht="13.5" hidden="1" customHeight="1">
      <c r="B26" s="207"/>
      <c r="C26" s="207"/>
      <c r="D26" s="79"/>
      <c r="E26" s="208"/>
      <c r="F26" s="79"/>
      <c r="G26" s="208"/>
      <c r="H26" s="79"/>
      <c r="J26" s="33"/>
    </row>
    <row r="27" spans="2:10" ht="13.5" hidden="1" customHeight="1">
      <c r="B27" s="207"/>
      <c r="C27" s="207"/>
      <c r="D27" s="79"/>
      <c r="E27" s="208"/>
      <c r="F27" s="79"/>
      <c r="G27" s="208"/>
      <c r="H27" s="79"/>
      <c r="J27" s="33"/>
    </row>
    <row r="28" spans="2:10" ht="13.5" hidden="1" customHeight="1">
      <c r="B28" s="207"/>
      <c r="C28" s="207"/>
      <c r="D28" s="79"/>
      <c r="E28" s="208"/>
      <c r="F28" s="79"/>
      <c r="G28" s="208"/>
      <c r="H28" s="79"/>
      <c r="J28" s="33"/>
    </row>
    <row r="29" spans="2:10" ht="13.5" hidden="1" customHeight="1">
      <c r="B29" s="207"/>
      <c r="C29" s="207"/>
      <c r="D29" s="79"/>
      <c r="E29" s="208"/>
      <c r="F29" s="79"/>
      <c r="G29" s="208"/>
      <c r="H29" s="79"/>
      <c r="J29" s="33"/>
    </row>
    <row r="30" spans="2:10" ht="13.5" thickBot="1">
      <c r="B30" s="224">
        <f>COUNT(B32:B300)</f>
        <v>22</v>
      </c>
      <c r="C30" s="35"/>
      <c r="J30" s="33"/>
    </row>
    <row r="31" spans="2:10" ht="14.25" customHeight="1" thickBot="1">
      <c r="B31" s="292" t="s">
        <v>704</v>
      </c>
      <c r="C31" s="293"/>
      <c r="D31" s="293"/>
      <c r="E31" s="293"/>
      <c r="F31" s="293"/>
    </row>
    <row r="32" spans="2:10" ht="25.5">
      <c r="B32" s="87"/>
      <c r="C32" s="88" t="s">
        <v>96</v>
      </c>
      <c r="D32" s="105" t="s">
        <v>917</v>
      </c>
      <c r="E32" s="89" t="s">
        <v>98</v>
      </c>
      <c r="F32" s="90" t="s">
        <v>709</v>
      </c>
    </row>
    <row r="33" spans="1:6" ht="51">
      <c r="A33" s="86"/>
      <c r="B33" s="185">
        <v>1</v>
      </c>
      <c r="C33" s="95" t="s">
        <v>557</v>
      </c>
      <c r="D33" s="196" t="s">
        <v>918</v>
      </c>
      <c r="E33" s="92"/>
      <c r="F33" s="93"/>
    </row>
    <row r="34" spans="1:6" ht="25.5">
      <c r="A34" s="86"/>
      <c r="B34" s="185">
        <v>2</v>
      </c>
      <c r="C34" s="95" t="s">
        <v>628</v>
      </c>
      <c r="D34" s="196" t="s">
        <v>918</v>
      </c>
      <c r="E34" s="92"/>
      <c r="F34" s="94"/>
    </row>
    <row r="35" spans="1:6" ht="76.5">
      <c r="A35" s="86"/>
      <c r="B35" s="185">
        <v>3</v>
      </c>
      <c r="C35" s="91" t="s">
        <v>633</v>
      </c>
      <c r="D35" s="196" t="s">
        <v>918</v>
      </c>
      <c r="E35" s="92"/>
      <c r="F35" s="93"/>
    </row>
    <row r="36" spans="1:6" ht="76.5">
      <c r="A36" s="86"/>
      <c r="B36" s="185">
        <v>4</v>
      </c>
      <c r="C36" s="91" t="s">
        <v>636</v>
      </c>
      <c r="D36" s="196" t="s">
        <v>918</v>
      </c>
      <c r="E36" s="92"/>
      <c r="F36" s="93"/>
    </row>
    <row r="37" spans="1:6" ht="63.75">
      <c r="A37" s="86"/>
      <c r="B37" s="185">
        <v>5</v>
      </c>
      <c r="C37" s="115" t="s">
        <v>513</v>
      </c>
      <c r="D37" s="196" t="s">
        <v>918</v>
      </c>
      <c r="E37" s="92"/>
      <c r="F37" s="94"/>
    </row>
    <row r="38" spans="1:6" ht="63.75">
      <c r="A38" s="86"/>
      <c r="B38" s="185">
        <v>6</v>
      </c>
      <c r="C38" s="115" t="s">
        <v>143</v>
      </c>
      <c r="D38" s="196" t="s">
        <v>918</v>
      </c>
      <c r="E38" s="92"/>
      <c r="F38" s="94"/>
    </row>
    <row r="39" spans="1:6" ht="38.25">
      <c r="A39" s="86"/>
      <c r="B39" s="185">
        <v>7</v>
      </c>
      <c r="C39" s="95" t="s">
        <v>567</v>
      </c>
      <c r="D39" s="196" t="s">
        <v>918</v>
      </c>
      <c r="E39" s="92"/>
      <c r="F39" s="93"/>
    </row>
    <row r="40" spans="1:6" ht="38.25">
      <c r="A40" s="86"/>
      <c r="B40" s="185">
        <v>8</v>
      </c>
      <c r="C40" s="115" t="s">
        <v>518</v>
      </c>
      <c r="D40" s="196" t="s">
        <v>918</v>
      </c>
      <c r="E40" s="92"/>
      <c r="F40" s="93"/>
    </row>
    <row r="41" spans="1:6" ht="63.75">
      <c r="A41" s="86"/>
      <c r="B41" s="185">
        <v>9</v>
      </c>
      <c r="C41" s="115" t="s">
        <v>560</v>
      </c>
      <c r="D41" s="196" t="s">
        <v>918</v>
      </c>
      <c r="E41" s="92"/>
      <c r="F41" s="93"/>
    </row>
    <row r="42" spans="1:6" ht="51">
      <c r="A42" s="86"/>
      <c r="B42" s="185">
        <v>10</v>
      </c>
      <c r="C42" s="115" t="s">
        <v>558</v>
      </c>
      <c r="D42" s="196" t="s">
        <v>918</v>
      </c>
      <c r="E42" s="92"/>
      <c r="F42" s="94"/>
    </row>
    <row r="43" spans="1:6" ht="63.75">
      <c r="A43" s="86"/>
      <c r="B43" s="185">
        <v>11</v>
      </c>
      <c r="C43" s="115" t="s">
        <v>559</v>
      </c>
      <c r="D43" s="196" t="s">
        <v>918</v>
      </c>
      <c r="E43" s="92"/>
      <c r="F43" s="94"/>
    </row>
    <row r="44" spans="1:6" ht="76.5">
      <c r="A44" s="86"/>
      <c r="B44" s="185">
        <v>12</v>
      </c>
      <c r="C44" s="95" t="s">
        <v>908</v>
      </c>
      <c r="D44" s="196" t="s">
        <v>918</v>
      </c>
      <c r="E44" s="92"/>
      <c r="F44" s="94"/>
    </row>
    <row r="45" spans="1:6" ht="38.25">
      <c r="A45" s="86"/>
      <c r="B45" s="185">
        <v>13</v>
      </c>
      <c r="C45" s="91" t="s">
        <v>113</v>
      </c>
      <c r="D45" s="196" t="s">
        <v>918</v>
      </c>
      <c r="E45" s="92"/>
      <c r="F45" s="94"/>
    </row>
    <row r="46" spans="1:6" ht="38.25">
      <c r="A46" s="86"/>
      <c r="B46" s="185">
        <v>14</v>
      </c>
      <c r="C46" s="95" t="s">
        <v>579</v>
      </c>
      <c r="D46" s="196" t="s">
        <v>918</v>
      </c>
      <c r="E46" s="92"/>
      <c r="F46" s="94"/>
    </row>
    <row r="47" spans="1:6" ht="38.25">
      <c r="A47" s="86"/>
      <c r="B47" s="185">
        <v>15</v>
      </c>
      <c r="C47" s="95" t="s">
        <v>909</v>
      </c>
      <c r="D47" s="196" t="s">
        <v>918</v>
      </c>
      <c r="E47" s="92"/>
      <c r="F47" s="94"/>
    </row>
    <row r="48" spans="1:6" ht="63.75">
      <c r="A48" s="86"/>
      <c r="B48" s="185">
        <v>16</v>
      </c>
      <c r="C48" s="95" t="s">
        <v>111</v>
      </c>
      <c r="D48" s="196" t="s">
        <v>918</v>
      </c>
      <c r="E48" s="92"/>
      <c r="F48" s="94"/>
    </row>
    <row r="49" spans="2:10" ht="63.75">
      <c r="B49" s="185">
        <v>17</v>
      </c>
      <c r="C49" s="122" t="s">
        <v>912</v>
      </c>
      <c r="D49" s="196" t="s">
        <v>918</v>
      </c>
      <c r="E49" s="123"/>
      <c r="F49" s="120"/>
    </row>
    <row r="50" spans="2:10" ht="25.5">
      <c r="B50" s="185">
        <v>18</v>
      </c>
      <c r="C50" s="122" t="s">
        <v>824</v>
      </c>
      <c r="D50" s="196" t="s">
        <v>918</v>
      </c>
      <c r="E50" s="123"/>
      <c r="F50" s="120"/>
    </row>
    <row r="51" spans="2:10" ht="25.5">
      <c r="B51" s="185">
        <v>19</v>
      </c>
      <c r="C51" s="329" t="s">
        <v>823</v>
      </c>
      <c r="D51" s="196" t="s">
        <v>918</v>
      </c>
      <c r="E51" s="123"/>
      <c r="F51" s="120"/>
    </row>
    <row r="52" spans="2:10" ht="25.5">
      <c r="B52" s="185">
        <v>20</v>
      </c>
      <c r="C52" s="133" t="s">
        <v>467</v>
      </c>
      <c r="D52" s="196" t="s">
        <v>918</v>
      </c>
      <c r="E52" s="123"/>
      <c r="F52" s="120"/>
    </row>
    <row r="53" spans="2:10" ht="25.5">
      <c r="B53" s="185">
        <v>21</v>
      </c>
      <c r="C53" s="329" t="s">
        <v>825</v>
      </c>
      <c r="D53" s="196" t="s">
        <v>918</v>
      </c>
      <c r="E53" s="123"/>
      <c r="F53" s="120"/>
    </row>
    <row r="54" spans="2:10" ht="26.25" thickBot="1">
      <c r="B54" s="185">
        <v>22</v>
      </c>
      <c r="C54" s="330" t="s">
        <v>897</v>
      </c>
      <c r="D54" s="220" t="s">
        <v>918</v>
      </c>
      <c r="E54" s="183"/>
      <c r="F54" s="187"/>
    </row>
    <row r="55" spans="2:10">
      <c r="B55" s="32"/>
      <c r="C55" s="35"/>
      <c r="J55" s="33"/>
    </row>
    <row r="56" spans="2:10">
      <c r="B56" s="32"/>
      <c r="C56" s="35"/>
      <c r="J56" s="33"/>
    </row>
    <row r="57" spans="2:10">
      <c r="B57" s="32"/>
      <c r="C57" s="35"/>
      <c r="J57" s="33"/>
    </row>
    <row r="58" spans="2:10" ht="14.25">
      <c r="B58" s="286" t="s">
        <v>706</v>
      </c>
      <c r="C58" s="287"/>
      <c r="D58" s="287"/>
      <c r="E58" s="287"/>
      <c r="F58" s="287"/>
      <c r="G58" s="287"/>
      <c r="H58" s="287"/>
      <c r="I58" s="287"/>
      <c r="J58" s="287"/>
    </row>
    <row r="59" spans="2:10" ht="25.5">
      <c r="B59" s="28"/>
      <c r="C59" s="28" t="s">
        <v>678</v>
      </c>
      <c r="D59" s="28"/>
      <c r="E59" s="28"/>
      <c r="F59" s="28"/>
      <c r="G59" s="28"/>
      <c r="H59" s="28"/>
      <c r="I59" s="28"/>
      <c r="J59" s="28"/>
    </row>
    <row r="60" spans="2:10">
      <c r="B60" s="32"/>
      <c r="C60" s="35" t="s">
        <v>679</v>
      </c>
      <c r="J60" s="33"/>
    </row>
  </sheetData>
  <mergeCells count="11">
    <mergeCell ref="B9:C9"/>
    <mergeCell ref="B10:C10"/>
    <mergeCell ref="B11:C11"/>
    <mergeCell ref="B58:J58"/>
    <mergeCell ref="B31:F31"/>
    <mergeCell ref="B8:C8"/>
    <mergeCell ref="B2:E2"/>
    <mergeCell ref="B3:C3"/>
    <mergeCell ref="B4:C4"/>
    <mergeCell ref="B6:C6"/>
    <mergeCell ref="B7:C7"/>
  </mergeCells>
  <dataValidations count="1">
    <dataValidation type="list" showInputMessage="1" showErrorMessage="1" sqref="D33:D54">
      <formula1>"TODO NATIVO, NATIVO Y DESARROLLO, DESARROLLO TOTAL"</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sheetPr>
    <tabColor rgb="FFFFC000"/>
  </sheetPr>
  <dimension ref="A1:XFC48"/>
  <sheetViews>
    <sheetView topLeftCell="A8" zoomScale="70" zoomScaleNormal="70" workbookViewId="0">
      <selection activeCell="C41" sqref="C41"/>
    </sheetView>
  </sheetViews>
  <sheetFormatPr defaultRowHeight="12.75"/>
  <cols>
    <col min="1" max="1" width="2" customWidth="1"/>
    <col min="2" max="2" width="6.28515625" customWidth="1"/>
    <col min="3" max="3" width="66.7109375" bestFit="1" customWidth="1"/>
    <col min="4" max="4" width="21.28515625" customWidth="1"/>
    <col min="5" max="5" width="17.7109375" customWidth="1"/>
    <col min="6" max="6" width="16.5703125" customWidth="1"/>
    <col min="7" max="7" width="17.42578125" customWidth="1"/>
    <col min="8" max="8" width="10.140625" customWidth="1"/>
    <col min="9" max="9" width="12.140625" customWidth="1"/>
  </cols>
  <sheetData>
    <row r="1" spans="2:10" ht="13.5" thickBot="1">
      <c r="B1" s="32"/>
      <c r="C1" s="35"/>
      <c r="J1" s="33"/>
    </row>
    <row r="2" spans="2:10" ht="15" thickBot="1">
      <c r="B2" s="281" t="s">
        <v>718</v>
      </c>
      <c r="C2" s="282"/>
      <c r="D2" s="282"/>
      <c r="E2" s="283"/>
      <c r="F2" s="82"/>
      <c r="J2" s="33"/>
    </row>
    <row r="3" spans="2:10">
      <c r="B3" s="277" t="s">
        <v>688</v>
      </c>
      <c r="C3" s="278"/>
      <c r="D3" s="66" t="s">
        <v>690</v>
      </c>
      <c r="E3" s="67" t="s">
        <v>691</v>
      </c>
      <c r="J3" s="33"/>
    </row>
    <row r="4" spans="2:10" ht="13.5" thickBot="1">
      <c r="B4" s="279" t="s">
        <v>701</v>
      </c>
      <c r="C4" s="280"/>
      <c r="D4" s="80" t="s">
        <v>700</v>
      </c>
      <c r="E4" s="81" t="s">
        <v>692</v>
      </c>
      <c r="J4" s="33"/>
    </row>
    <row r="5" spans="2:10" ht="13.5" thickBot="1">
      <c r="B5" s="32"/>
      <c r="C5" s="35"/>
      <c r="J5" s="33"/>
    </row>
    <row r="6" spans="2:10" ht="63.75">
      <c r="B6" s="284" t="s">
        <v>689</v>
      </c>
      <c r="C6" s="285"/>
      <c r="D6" s="153" t="s">
        <v>881</v>
      </c>
      <c r="E6" s="67" t="s">
        <v>862</v>
      </c>
      <c r="F6" s="153" t="s">
        <v>882</v>
      </c>
      <c r="G6" s="67" t="s">
        <v>862</v>
      </c>
      <c r="H6" s="67" t="s">
        <v>694</v>
      </c>
      <c r="J6" s="33"/>
    </row>
    <row r="7" spans="2:10" ht="12.75" customHeight="1">
      <c r="B7" s="288" t="s">
        <v>693</v>
      </c>
      <c r="C7" s="289"/>
      <c r="D7" s="154" t="s">
        <v>695</v>
      </c>
      <c r="E7" s="155"/>
      <c r="F7" s="154" t="s">
        <v>695</v>
      </c>
      <c r="G7" s="155"/>
      <c r="H7" s="160" t="s">
        <v>692</v>
      </c>
      <c r="J7" s="33"/>
    </row>
    <row r="8" spans="2:10" ht="12.75" customHeight="1">
      <c r="B8" s="288" t="s">
        <v>696</v>
      </c>
      <c r="C8" s="289"/>
      <c r="D8" s="154" t="s">
        <v>695</v>
      </c>
      <c r="E8" s="155"/>
      <c r="F8" s="154" t="s">
        <v>695</v>
      </c>
      <c r="G8" s="155"/>
      <c r="H8" s="160" t="s">
        <v>692</v>
      </c>
      <c r="J8" s="33"/>
    </row>
    <row r="9" spans="2:10" ht="12.75" customHeight="1">
      <c r="B9" s="288" t="s">
        <v>697</v>
      </c>
      <c r="C9" s="289"/>
      <c r="D9" s="154" t="s">
        <v>695</v>
      </c>
      <c r="E9" s="155"/>
      <c r="F9" s="154" t="s">
        <v>695</v>
      </c>
      <c r="G9" s="155"/>
      <c r="H9" s="160" t="s">
        <v>692</v>
      </c>
      <c r="J9" s="33"/>
    </row>
    <row r="10" spans="2:10" ht="12.75" customHeight="1">
      <c r="B10" s="288" t="s">
        <v>698</v>
      </c>
      <c r="C10" s="289"/>
      <c r="D10" s="154" t="s">
        <v>695</v>
      </c>
      <c r="E10" s="155"/>
      <c r="F10" s="154" t="s">
        <v>695</v>
      </c>
      <c r="G10" s="155"/>
      <c r="H10" s="160" t="s">
        <v>692</v>
      </c>
      <c r="J10" s="33"/>
    </row>
    <row r="11" spans="2:10" ht="13.5" customHeight="1" thickBot="1">
      <c r="B11" s="290" t="s">
        <v>699</v>
      </c>
      <c r="C11" s="291"/>
      <c r="D11" s="156" t="s">
        <v>695</v>
      </c>
      <c r="E11" s="157"/>
      <c r="F11" s="156" t="s">
        <v>695</v>
      </c>
      <c r="G11" s="157"/>
      <c r="H11" s="161" t="s">
        <v>692</v>
      </c>
      <c r="J11" s="33"/>
    </row>
    <row r="12" spans="2:10" ht="13.5" hidden="1" customHeight="1">
      <c r="B12" s="207"/>
      <c r="C12" s="207"/>
      <c r="D12" s="79"/>
      <c r="E12" s="208"/>
      <c r="F12" s="79"/>
      <c r="G12" s="208"/>
      <c r="H12" s="79"/>
      <c r="J12" s="33"/>
    </row>
    <row r="13" spans="2:10" ht="13.5" hidden="1" customHeight="1">
      <c r="B13" s="207"/>
      <c r="C13" s="207"/>
      <c r="D13" s="79"/>
      <c r="E13" s="208"/>
      <c r="F13" s="79"/>
      <c r="G13" s="208"/>
      <c r="H13" s="79"/>
      <c r="J13" s="33"/>
    </row>
    <row r="14" spans="2:10" ht="13.5" hidden="1" customHeight="1">
      <c r="B14" s="207"/>
      <c r="C14" s="207"/>
      <c r="D14" s="79"/>
      <c r="E14" s="208"/>
      <c r="F14" s="79"/>
      <c r="G14" s="208"/>
      <c r="H14" s="79"/>
      <c r="J14" s="33"/>
    </row>
    <row r="15" spans="2:10" ht="13.5" hidden="1" customHeight="1">
      <c r="B15" s="207"/>
      <c r="C15" s="207"/>
      <c r="D15" s="79"/>
      <c r="E15" s="208"/>
      <c r="F15" s="79"/>
      <c r="G15" s="208"/>
      <c r="H15" s="79"/>
      <c r="J15" s="33"/>
    </row>
    <row r="16" spans="2:10" ht="13.5" hidden="1" customHeight="1">
      <c r="B16" s="207"/>
      <c r="C16" s="207"/>
      <c r="D16" s="79"/>
      <c r="E16" s="208"/>
      <c r="F16" s="79"/>
      <c r="G16" s="208"/>
      <c r="H16" s="79"/>
      <c r="J16" s="33"/>
    </row>
    <row r="17" spans="1:10" ht="13.5" hidden="1" customHeight="1">
      <c r="B17" s="207"/>
      <c r="C17" s="207"/>
      <c r="D17" s="79"/>
      <c r="E17" s="208"/>
      <c r="F17" s="79"/>
      <c r="G17" s="208"/>
      <c r="H17" s="79"/>
      <c r="J17" s="33"/>
    </row>
    <row r="18" spans="1:10" ht="13.5" hidden="1" customHeight="1">
      <c r="B18" s="207"/>
      <c r="C18" s="207"/>
      <c r="D18" s="79"/>
      <c r="E18" s="208"/>
      <c r="F18" s="79"/>
      <c r="G18" s="208"/>
      <c r="H18" s="79"/>
      <c r="J18" s="33"/>
    </row>
    <row r="19" spans="1:10" ht="13.5" hidden="1" customHeight="1">
      <c r="B19" s="207"/>
      <c r="C19" s="207"/>
      <c r="D19" s="79"/>
      <c r="E19" s="208"/>
      <c r="F19" s="79"/>
      <c r="G19" s="208"/>
      <c r="H19" s="79"/>
      <c r="J19" s="33"/>
    </row>
    <row r="20" spans="1:10" ht="13.5" hidden="1" customHeight="1">
      <c r="B20" s="207"/>
      <c r="C20" s="207"/>
      <c r="D20" s="79"/>
      <c r="E20" s="208"/>
      <c r="F20" s="79"/>
      <c r="G20" s="208"/>
      <c r="H20" s="79"/>
      <c r="J20" s="33"/>
    </row>
    <row r="21" spans="1:10" ht="13.5" hidden="1" customHeight="1">
      <c r="B21" s="207"/>
      <c r="C21" s="207"/>
      <c r="D21" s="79"/>
      <c r="E21" s="208"/>
      <c r="F21" s="79"/>
      <c r="G21" s="208"/>
      <c r="H21" s="79"/>
      <c r="J21" s="33"/>
    </row>
    <row r="22" spans="1:10" ht="13.5" hidden="1" customHeight="1">
      <c r="B22" s="207"/>
      <c r="C22" s="207"/>
      <c r="D22" s="79"/>
      <c r="E22" s="208"/>
      <c r="F22" s="79"/>
      <c r="G22" s="208"/>
      <c r="H22" s="79"/>
      <c r="J22" s="33"/>
    </row>
    <row r="23" spans="1:10" ht="13.5" hidden="1" customHeight="1">
      <c r="B23" s="207"/>
      <c r="C23" s="207"/>
      <c r="D23" s="79"/>
      <c r="E23" s="208"/>
      <c r="F23" s="79"/>
      <c r="G23" s="208"/>
      <c r="H23" s="79"/>
      <c r="J23" s="33"/>
    </row>
    <row r="24" spans="1:10" ht="13.5" hidden="1" customHeight="1">
      <c r="B24" s="207"/>
      <c r="C24" s="207"/>
      <c r="D24" s="79"/>
      <c r="E24" s="208"/>
      <c r="F24" s="79"/>
      <c r="G24" s="208"/>
      <c r="H24" s="79"/>
      <c r="J24" s="33"/>
    </row>
    <row r="25" spans="1:10" ht="13.5" hidden="1" customHeight="1">
      <c r="B25" s="207"/>
      <c r="C25" s="207"/>
      <c r="D25" s="79"/>
      <c r="E25" s="208"/>
      <c r="F25" s="79"/>
      <c r="G25" s="208"/>
      <c r="H25" s="79"/>
      <c r="J25" s="33"/>
    </row>
    <row r="26" spans="1:10" ht="13.5" hidden="1" customHeight="1">
      <c r="B26" s="207"/>
      <c r="C26" s="207"/>
      <c r="D26" s="79"/>
      <c r="E26" s="208"/>
      <c r="F26" s="79"/>
      <c r="G26" s="208"/>
      <c r="H26" s="79"/>
      <c r="J26" s="33"/>
    </row>
    <row r="27" spans="1:10" ht="13.5" hidden="1" customHeight="1">
      <c r="B27" s="207"/>
      <c r="C27" s="207"/>
      <c r="D27" s="79"/>
      <c r="E27" s="208"/>
      <c r="F27" s="79"/>
      <c r="G27" s="208"/>
      <c r="H27" s="79"/>
      <c r="J27" s="33"/>
    </row>
    <row r="28" spans="1:10" ht="13.5" hidden="1" customHeight="1">
      <c r="B28" s="207"/>
      <c r="C28" s="207"/>
      <c r="D28" s="79"/>
      <c r="E28" s="208"/>
      <c r="F28" s="79"/>
      <c r="G28" s="208"/>
      <c r="H28" s="79"/>
      <c r="J28" s="33"/>
    </row>
    <row r="29" spans="1:10" ht="13.5" hidden="1" customHeight="1">
      <c r="B29" s="207"/>
      <c r="C29" s="207"/>
      <c r="D29" s="79"/>
      <c r="E29" s="208"/>
      <c r="F29" s="79"/>
      <c r="G29" s="208"/>
      <c r="H29" s="79"/>
      <c r="J29" s="33"/>
    </row>
    <row r="30" spans="1:10" ht="13.5" thickBot="1">
      <c r="B30" s="224">
        <f>COUNT(B32:B300)</f>
        <v>9</v>
      </c>
      <c r="C30" s="35"/>
      <c r="J30" s="33"/>
    </row>
    <row r="31" spans="1:10" ht="14.25" customHeight="1" thickBot="1">
      <c r="B31" s="292" t="s">
        <v>704</v>
      </c>
      <c r="C31" s="297"/>
      <c r="D31" s="297"/>
      <c r="E31" s="297"/>
      <c r="F31" s="297"/>
      <c r="G31" s="297"/>
      <c r="H31" s="297"/>
      <c r="I31" s="297"/>
      <c r="J31" s="298"/>
    </row>
    <row r="32" spans="1:10" ht="25.5">
      <c r="A32" s="56"/>
      <c r="B32" s="87"/>
      <c r="C32" s="88" t="s">
        <v>96</v>
      </c>
      <c r="D32" s="105" t="s">
        <v>917</v>
      </c>
      <c r="E32" s="89" t="s">
        <v>98</v>
      </c>
      <c r="F32" s="90" t="s">
        <v>709</v>
      </c>
    </row>
    <row r="33" spans="1:10 16383:16383" ht="25.5">
      <c r="A33" s="86"/>
      <c r="B33" s="194">
        <v>1</v>
      </c>
      <c r="C33" s="91" t="s">
        <v>134</v>
      </c>
      <c r="D33" s="196" t="s">
        <v>918</v>
      </c>
      <c r="E33" s="92"/>
      <c r="F33" s="93"/>
      <c r="XFC33" s="92"/>
    </row>
    <row r="34" spans="1:10 16383:16383" ht="51">
      <c r="A34" s="86"/>
      <c r="B34" s="194">
        <v>2</v>
      </c>
      <c r="C34" s="91" t="s">
        <v>609</v>
      </c>
      <c r="D34" s="196" t="s">
        <v>918</v>
      </c>
      <c r="E34" s="92"/>
      <c r="F34" s="93"/>
    </row>
    <row r="35" spans="1:10 16383:16383" ht="25.5">
      <c r="A35" s="86"/>
      <c r="B35" s="194">
        <v>3</v>
      </c>
      <c r="C35" s="91" t="s">
        <v>608</v>
      </c>
      <c r="D35" s="196" t="s">
        <v>918</v>
      </c>
      <c r="E35" s="92"/>
      <c r="F35" s="94"/>
    </row>
    <row r="36" spans="1:10 16383:16383" ht="51">
      <c r="A36" s="86"/>
      <c r="B36" s="194">
        <v>4</v>
      </c>
      <c r="C36" s="91" t="s">
        <v>614</v>
      </c>
      <c r="D36" s="196" t="s">
        <v>918</v>
      </c>
      <c r="E36" s="92"/>
      <c r="F36" s="93"/>
    </row>
    <row r="37" spans="1:10 16383:16383" ht="38.25">
      <c r="A37" s="86"/>
      <c r="B37" s="194">
        <v>5</v>
      </c>
      <c r="C37" s="91" t="s">
        <v>112</v>
      </c>
      <c r="D37" s="196" t="s">
        <v>918</v>
      </c>
      <c r="E37" s="92"/>
      <c r="F37" s="94"/>
    </row>
    <row r="38" spans="1:10 16383:16383" ht="38.25">
      <c r="A38" s="86"/>
      <c r="B38" s="194">
        <v>6</v>
      </c>
      <c r="C38" s="91" t="s">
        <v>483</v>
      </c>
      <c r="D38" s="196" t="s">
        <v>918</v>
      </c>
      <c r="E38" s="92"/>
      <c r="F38" s="94"/>
    </row>
    <row r="39" spans="1:10 16383:16383" ht="38.25">
      <c r="A39" s="86"/>
      <c r="B39" s="194">
        <v>7</v>
      </c>
      <c r="C39" s="91" t="s">
        <v>135</v>
      </c>
      <c r="D39" s="196" t="s">
        <v>918</v>
      </c>
      <c r="E39" s="92"/>
      <c r="F39" s="93"/>
    </row>
    <row r="40" spans="1:10 16383:16383" ht="63.75">
      <c r="A40" s="86"/>
      <c r="B40" s="194">
        <v>8</v>
      </c>
      <c r="C40" s="95" t="s">
        <v>484</v>
      </c>
      <c r="D40" s="196" t="s">
        <v>918</v>
      </c>
      <c r="E40" s="92"/>
      <c r="F40" s="93"/>
    </row>
    <row r="41" spans="1:10 16383:16383" ht="76.5">
      <c r="A41" s="86"/>
      <c r="B41" s="194">
        <v>9</v>
      </c>
      <c r="C41" s="91" t="s">
        <v>648</v>
      </c>
      <c r="D41" s="196" t="s">
        <v>918</v>
      </c>
      <c r="E41" s="92"/>
      <c r="F41" s="94"/>
    </row>
    <row r="42" spans="1:10 16383:16383" ht="13.5" thickBot="1">
      <c r="B42" s="96"/>
      <c r="C42" s="97"/>
      <c r="D42" s="98"/>
      <c r="E42" s="98"/>
      <c r="F42" s="99"/>
    </row>
    <row r="43" spans="1:10 16383:16383">
      <c r="B43" s="32"/>
      <c r="C43" s="35"/>
      <c r="J43" s="33"/>
    </row>
    <row r="44" spans="1:10 16383:16383">
      <c r="B44" s="32"/>
      <c r="C44" s="35"/>
      <c r="J44" s="33"/>
    </row>
    <row r="45" spans="1:10 16383:16383">
      <c r="B45" s="32"/>
      <c r="C45" s="35"/>
      <c r="J45" s="33"/>
    </row>
    <row r="46" spans="1:10 16383:16383" ht="14.25">
      <c r="B46" s="286" t="s">
        <v>706</v>
      </c>
      <c r="C46" s="287"/>
      <c r="D46" s="287"/>
      <c r="E46" s="287"/>
      <c r="F46" s="287"/>
      <c r="G46" s="287"/>
      <c r="H46" s="287"/>
      <c r="I46" s="287"/>
      <c r="J46" s="287"/>
    </row>
    <row r="47" spans="1:10 16383:16383" ht="38.25">
      <c r="B47" s="28"/>
      <c r="C47" s="28" t="s">
        <v>678</v>
      </c>
      <c r="D47" s="28"/>
      <c r="E47" s="28"/>
      <c r="F47" s="28"/>
      <c r="G47" s="28"/>
      <c r="H47" s="28"/>
      <c r="I47" s="28"/>
      <c r="J47" s="28"/>
    </row>
    <row r="48" spans="1:10 16383:16383">
      <c r="B48" s="32"/>
      <c r="C48" s="35" t="s">
        <v>679</v>
      </c>
      <c r="J48" s="33"/>
    </row>
  </sheetData>
  <mergeCells count="11">
    <mergeCell ref="B9:C9"/>
    <mergeCell ref="B10:C10"/>
    <mergeCell ref="B11:C11"/>
    <mergeCell ref="B31:J31"/>
    <mergeCell ref="B46:J46"/>
    <mergeCell ref="B8:C8"/>
    <mergeCell ref="B2:E2"/>
    <mergeCell ref="B3:C3"/>
    <mergeCell ref="B4:C4"/>
    <mergeCell ref="B6:C6"/>
    <mergeCell ref="B7:C7"/>
  </mergeCells>
  <dataValidations count="1">
    <dataValidation type="list" showInputMessage="1" showErrorMessage="1" sqref="D33:D41">
      <formula1>"TODO NATIVO, NATIVO Y DESARROLLO, DESARROLLO TOTAL"</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sheetPr>
    <tabColor rgb="FF00B050"/>
  </sheetPr>
  <dimension ref="B1:I132"/>
  <sheetViews>
    <sheetView zoomScale="70" zoomScaleNormal="70" workbookViewId="0">
      <selection activeCell="D31" sqref="D31"/>
    </sheetView>
  </sheetViews>
  <sheetFormatPr defaultColWidth="9.140625" defaultRowHeight="12.75"/>
  <cols>
    <col min="1" max="1" width="2" customWidth="1"/>
    <col min="2" max="2" width="9.140625" style="32"/>
    <col min="3" max="3" width="60.5703125" style="35" customWidth="1"/>
    <col min="4" max="4" width="17.42578125" style="192" customWidth="1"/>
    <col min="5" max="5" width="20" customWidth="1"/>
    <col min="6" max="6" width="18.85546875" customWidth="1"/>
    <col min="7" max="7" width="15.7109375" customWidth="1"/>
    <col min="8" max="8" width="16.5703125" customWidth="1"/>
    <col min="9" max="9" width="15.28515625" customWidth="1"/>
  </cols>
  <sheetData>
    <row r="1" spans="2:9" ht="13.5" thickBot="1">
      <c r="B1"/>
      <c r="C1" s="32"/>
      <c r="D1" s="32"/>
      <c r="E1" s="35"/>
    </row>
    <row r="2" spans="2:9" ht="15" thickBot="1">
      <c r="B2" s="281" t="s">
        <v>718</v>
      </c>
      <c r="C2" s="282"/>
      <c r="D2" s="282"/>
      <c r="E2" s="282"/>
      <c r="F2" s="283"/>
    </row>
    <row r="3" spans="2:9">
      <c r="B3" s="277" t="s">
        <v>688</v>
      </c>
      <c r="C3" s="278"/>
      <c r="D3" s="193"/>
      <c r="E3" s="66" t="s">
        <v>690</v>
      </c>
      <c r="F3" s="67" t="s">
        <v>691</v>
      </c>
    </row>
    <row r="4" spans="2:9" ht="13.5" thickBot="1">
      <c r="B4" s="279" t="s">
        <v>701</v>
      </c>
      <c r="C4" s="280"/>
      <c r="D4" s="200"/>
      <c r="E4" s="80" t="s">
        <v>700</v>
      </c>
      <c r="F4" s="81" t="s">
        <v>692</v>
      </c>
    </row>
    <row r="5" spans="2:9" ht="13.5" thickBot="1"/>
    <row r="6" spans="2:9" ht="25.5" customHeight="1">
      <c r="B6" s="284" t="s">
        <v>689</v>
      </c>
      <c r="C6" s="285"/>
      <c r="D6" s="153" t="s">
        <v>881</v>
      </c>
      <c r="E6" s="67" t="s">
        <v>862</v>
      </c>
      <c r="F6" s="153" t="s">
        <v>882</v>
      </c>
      <c r="G6" s="67" t="s">
        <v>862</v>
      </c>
      <c r="H6" s="67" t="s">
        <v>694</v>
      </c>
    </row>
    <row r="7" spans="2:9" ht="12.75" customHeight="1">
      <c r="B7" s="288" t="s">
        <v>693</v>
      </c>
      <c r="C7" s="289"/>
      <c r="D7" s="154" t="s">
        <v>695</v>
      </c>
      <c r="E7" s="155"/>
      <c r="F7" s="154" t="s">
        <v>695</v>
      </c>
      <c r="G7" s="155"/>
      <c r="H7" s="160" t="s">
        <v>692</v>
      </c>
    </row>
    <row r="8" spans="2:9" ht="12.75" customHeight="1">
      <c r="B8" s="288" t="s">
        <v>696</v>
      </c>
      <c r="C8" s="289"/>
      <c r="D8" s="154" t="s">
        <v>695</v>
      </c>
      <c r="E8" s="155"/>
      <c r="F8" s="154" t="s">
        <v>695</v>
      </c>
      <c r="G8" s="155"/>
      <c r="H8" s="160" t="s">
        <v>692</v>
      </c>
    </row>
    <row r="9" spans="2:9" ht="12.75" customHeight="1">
      <c r="B9" s="288" t="s">
        <v>697</v>
      </c>
      <c r="C9" s="289"/>
      <c r="D9" s="154" t="s">
        <v>695</v>
      </c>
      <c r="E9" s="155"/>
      <c r="F9" s="154" t="s">
        <v>695</v>
      </c>
      <c r="G9" s="155"/>
      <c r="H9" s="160" t="s">
        <v>692</v>
      </c>
    </row>
    <row r="10" spans="2:9" ht="12.75" customHeight="1">
      <c r="B10" s="288" t="s">
        <v>698</v>
      </c>
      <c r="C10" s="289"/>
      <c r="D10" s="154" t="s">
        <v>695</v>
      </c>
      <c r="E10" s="155"/>
      <c r="F10" s="154" t="s">
        <v>695</v>
      </c>
      <c r="G10" s="155"/>
      <c r="H10" s="160" t="s">
        <v>692</v>
      </c>
    </row>
    <row r="11" spans="2:9" ht="13.5" customHeight="1" thickBot="1">
      <c r="B11" s="290" t="s">
        <v>699</v>
      </c>
      <c r="C11" s="291"/>
      <c r="D11" s="156" t="s">
        <v>695</v>
      </c>
      <c r="E11" s="157"/>
      <c r="F11" s="156" t="s">
        <v>695</v>
      </c>
      <c r="G11" s="157"/>
      <c r="H11" s="161" t="s">
        <v>692</v>
      </c>
    </row>
    <row r="12" spans="2:9" ht="13.5" thickBot="1">
      <c r="B12"/>
      <c r="C12" s="32"/>
      <c r="D12" s="32"/>
      <c r="E12" s="35"/>
    </row>
    <row r="13" spans="2:9" ht="14.25">
      <c r="B13" s="292" t="s">
        <v>704</v>
      </c>
      <c r="C13" s="293"/>
      <c r="D13" s="293"/>
      <c r="E13" s="293"/>
      <c r="F13" s="293"/>
      <c r="G13" s="293"/>
      <c r="H13" s="293"/>
      <c r="I13" s="293"/>
    </row>
    <row r="14" spans="2:9" s="218" customFormat="1" ht="15" thickBot="1">
      <c r="B14" s="216"/>
      <c r="C14" s="216"/>
      <c r="D14" s="216"/>
      <c r="E14" s="216"/>
      <c r="F14" s="217"/>
      <c r="G14" s="216"/>
      <c r="H14" s="216"/>
      <c r="I14" s="216"/>
    </row>
    <row r="15" spans="2:9" ht="13.5" hidden="1" thickBot="1">
      <c r="B15" s="31"/>
      <c r="C15" s="205"/>
      <c r="D15" s="191"/>
      <c r="E15" s="28"/>
      <c r="F15" s="191"/>
      <c r="G15" s="191"/>
    </row>
    <row r="16" spans="2:9" ht="14.25">
      <c r="B16" s="190" t="s">
        <v>657</v>
      </c>
      <c r="C16" s="188" t="s">
        <v>454</v>
      </c>
      <c r="D16" s="201"/>
      <c r="E16" s="202"/>
      <c r="F16" s="65"/>
      <c r="G16" s="206"/>
    </row>
    <row r="17" spans="2:7" ht="14.25">
      <c r="B17" s="189" t="s">
        <v>106</v>
      </c>
      <c r="C17" s="188" t="s">
        <v>821</v>
      </c>
      <c r="D17" s="201"/>
      <c r="E17" s="202"/>
      <c r="F17" s="65"/>
      <c r="G17" s="206"/>
    </row>
    <row r="18" spans="2:7" ht="14.25">
      <c r="B18" s="189" t="s">
        <v>104</v>
      </c>
      <c r="C18" s="188" t="s">
        <v>795</v>
      </c>
      <c r="D18" s="201"/>
      <c r="E18" s="202"/>
      <c r="F18" s="65"/>
      <c r="G18" s="206"/>
    </row>
    <row r="19" spans="2:7" ht="14.25">
      <c r="B19" s="189" t="s">
        <v>105</v>
      </c>
      <c r="C19" s="188" t="s">
        <v>817</v>
      </c>
      <c r="D19" s="201"/>
      <c r="E19" s="202"/>
      <c r="F19" s="65"/>
      <c r="G19" s="206"/>
    </row>
    <row r="20" spans="2:7" ht="14.25">
      <c r="B20" s="189" t="s">
        <v>255</v>
      </c>
      <c r="C20" s="188" t="s">
        <v>819</v>
      </c>
      <c r="D20" s="201"/>
      <c r="E20" s="202"/>
      <c r="F20" s="65"/>
      <c r="G20" s="206"/>
    </row>
    <row r="21" spans="2:7" ht="14.25">
      <c r="B21" s="189" t="s">
        <v>302</v>
      </c>
      <c r="C21" s="188" t="s">
        <v>816</v>
      </c>
      <c r="D21" s="201"/>
      <c r="E21" s="202"/>
      <c r="F21" s="65"/>
      <c r="G21" s="206"/>
    </row>
    <row r="22" spans="2:7" ht="14.25">
      <c r="B22" s="189" t="s">
        <v>103</v>
      </c>
      <c r="C22" s="188" t="s">
        <v>794</v>
      </c>
      <c r="D22" s="201"/>
      <c r="E22" s="202"/>
      <c r="F22" s="65"/>
      <c r="G22" s="206"/>
    </row>
    <row r="23" spans="2:7" ht="14.25">
      <c r="B23" s="189" t="s">
        <v>107</v>
      </c>
      <c r="C23" s="188" t="s">
        <v>822</v>
      </c>
      <c r="D23" s="201"/>
      <c r="E23" s="202"/>
      <c r="F23" s="65"/>
      <c r="G23" s="206"/>
    </row>
    <row r="24" spans="2:7" ht="14.25">
      <c r="B24" s="189" t="s">
        <v>108</v>
      </c>
      <c r="C24" s="188" t="s">
        <v>829</v>
      </c>
      <c r="D24" s="201"/>
      <c r="E24" s="202"/>
      <c r="F24" s="65"/>
      <c r="G24" s="206"/>
    </row>
    <row r="25" spans="2:7" ht="14.25">
      <c r="B25" s="188"/>
      <c r="C25" s="188"/>
      <c r="D25" s="201"/>
      <c r="E25" s="202"/>
      <c r="F25" s="65"/>
      <c r="G25" s="206"/>
    </row>
    <row r="26" spans="2:7" ht="20.25" hidden="1">
      <c r="B26"/>
      <c r="C26" s="203"/>
      <c r="D26" s="203"/>
      <c r="E26" s="204"/>
      <c r="F26" s="203"/>
    </row>
    <row r="27" spans="2:7" ht="20.25" hidden="1">
      <c r="B27"/>
      <c r="C27" s="203"/>
      <c r="D27" s="203"/>
      <c r="E27" s="204"/>
      <c r="F27" s="203"/>
    </row>
    <row r="28" spans="2:7" ht="20.25" hidden="1">
      <c r="B28"/>
      <c r="C28" s="203"/>
      <c r="D28" s="203"/>
      <c r="E28" s="204"/>
      <c r="F28" s="203"/>
    </row>
    <row r="29" spans="2:7" ht="20.25" hidden="1">
      <c r="B29"/>
      <c r="C29" s="203"/>
      <c r="D29" s="203"/>
      <c r="E29" s="204"/>
      <c r="F29" s="203"/>
    </row>
    <row r="30" spans="2:7" ht="13.5" thickBot="1">
      <c r="B30" s="224">
        <f>COUNT(B32:B301)</f>
        <v>95</v>
      </c>
    </row>
    <row r="31" spans="2:7" ht="46.5" customHeight="1">
      <c r="B31" s="103"/>
      <c r="C31" s="104" t="s">
        <v>96</v>
      </c>
      <c r="D31" s="210" t="s">
        <v>919</v>
      </c>
      <c r="E31" s="105" t="s">
        <v>917</v>
      </c>
      <c r="F31" s="106" t="s">
        <v>98</v>
      </c>
      <c r="G31" s="107" t="s">
        <v>709</v>
      </c>
    </row>
    <row r="32" spans="2:7" ht="23.25" customHeight="1">
      <c r="B32" s="169">
        <v>1</v>
      </c>
      <c r="C32" s="301" t="s">
        <v>790</v>
      </c>
      <c r="D32" s="211" t="s">
        <v>901</v>
      </c>
      <c r="E32" s="196" t="s">
        <v>904</v>
      </c>
      <c r="F32" s="170"/>
      <c r="G32" s="163" t="s">
        <v>103</v>
      </c>
    </row>
    <row r="33" spans="2:7" ht="51">
      <c r="B33" s="169">
        <v>2</v>
      </c>
      <c r="C33" s="301" t="s">
        <v>792</v>
      </c>
      <c r="D33" s="211" t="s">
        <v>899</v>
      </c>
      <c r="E33" s="196" t="s">
        <v>904</v>
      </c>
      <c r="F33" s="170"/>
      <c r="G33" s="163" t="s">
        <v>104</v>
      </c>
    </row>
    <row r="34" spans="2:7" ht="51">
      <c r="B34" s="169">
        <v>3</v>
      </c>
      <c r="C34" s="301" t="s">
        <v>793</v>
      </c>
      <c r="D34" s="211" t="s">
        <v>899</v>
      </c>
      <c r="E34" s="196" t="s">
        <v>904</v>
      </c>
      <c r="F34" s="170"/>
      <c r="G34" s="163" t="s">
        <v>104</v>
      </c>
    </row>
    <row r="35" spans="2:7" ht="51">
      <c r="B35" s="169">
        <v>4</v>
      </c>
      <c r="C35" s="301" t="s">
        <v>791</v>
      </c>
      <c r="D35" s="211" t="s">
        <v>899</v>
      </c>
      <c r="E35" s="196" t="s">
        <v>904</v>
      </c>
      <c r="F35" s="170"/>
      <c r="G35" s="163" t="s">
        <v>104</v>
      </c>
    </row>
    <row r="36" spans="2:7" ht="51">
      <c r="B36" s="169">
        <v>5</v>
      </c>
      <c r="C36" s="301" t="s">
        <v>796</v>
      </c>
      <c r="D36" s="211" t="s">
        <v>899</v>
      </c>
      <c r="E36" s="196" t="s">
        <v>904</v>
      </c>
      <c r="F36" s="170"/>
      <c r="G36" s="163" t="s">
        <v>104</v>
      </c>
    </row>
    <row r="37" spans="2:7" ht="38.25">
      <c r="B37" s="169">
        <v>6</v>
      </c>
      <c r="C37" s="301" t="s">
        <v>455</v>
      </c>
      <c r="D37" s="211" t="s">
        <v>901</v>
      </c>
      <c r="E37" s="196" t="s">
        <v>904</v>
      </c>
      <c r="F37" s="170"/>
      <c r="G37" s="163" t="s">
        <v>104</v>
      </c>
    </row>
    <row r="38" spans="2:7" ht="38.25">
      <c r="B38" s="169">
        <v>7</v>
      </c>
      <c r="C38" s="301" t="s">
        <v>797</v>
      </c>
      <c r="D38" s="211" t="s">
        <v>901</v>
      </c>
      <c r="E38" s="196" t="s">
        <v>904</v>
      </c>
      <c r="F38" s="170"/>
      <c r="G38" s="163" t="s">
        <v>104</v>
      </c>
    </row>
    <row r="39" spans="2:7" ht="63.75">
      <c r="B39" s="169">
        <v>9</v>
      </c>
      <c r="C39" s="301" t="s">
        <v>826</v>
      </c>
      <c r="D39" s="211" t="s">
        <v>899</v>
      </c>
      <c r="E39" s="196" t="s">
        <v>904</v>
      </c>
      <c r="F39" s="170"/>
      <c r="G39" s="163" t="s">
        <v>104</v>
      </c>
    </row>
    <row r="40" spans="2:7" ht="51">
      <c r="B40" s="169">
        <v>10</v>
      </c>
      <c r="C40" s="301" t="s">
        <v>827</v>
      </c>
      <c r="D40" s="211" t="s">
        <v>899</v>
      </c>
      <c r="E40" s="196" t="s">
        <v>904</v>
      </c>
      <c r="F40" s="170"/>
      <c r="G40" s="163" t="s">
        <v>104</v>
      </c>
    </row>
    <row r="41" spans="2:7" ht="51">
      <c r="B41" s="169">
        <v>11</v>
      </c>
      <c r="C41" s="301" t="s">
        <v>883</v>
      </c>
      <c r="D41" s="211" t="s">
        <v>899</v>
      </c>
      <c r="E41" s="196" t="s">
        <v>904</v>
      </c>
      <c r="F41" s="170"/>
      <c r="G41" s="163" t="s">
        <v>104</v>
      </c>
    </row>
    <row r="42" spans="2:7" ht="25.5">
      <c r="B42" s="169">
        <v>12</v>
      </c>
      <c r="C42" s="301" t="s">
        <v>830</v>
      </c>
      <c r="D42" s="211" t="s">
        <v>901</v>
      </c>
      <c r="E42" s="196" t="s">
        <v>904</v>
      </c>
      <c r="F42" s="170"/>
      <c r="G42" s="163" t="s">
        <v>104</v>
      </c>
    </row>
    <row r="43" spans="2:7" ht="25.5">
      <c r="B43" s="169">
        <v>13</v>
      </c>
      <c r="C43" s="301" t="s">
        <v>476</v>
      </c>
      <c r="D43" s="211" t="s">
        <v>901</v>
      </c>
      <c r="E43" s="196" t="s">
        <v>904</v>
      </c>
      <c r="F43" s="170"/>
      <c r="G43" s="163" t="s">
        <v>104</v>
      </c>
    </row>
    <row r="44" spans="2:7" ht="51">
      <c r="B44" s="169">
        <v>14</v>
      </c>
      <c r="C44" s="301" t="s">
        <v>893</v>
      </c>
      <c r="D44" s="211" t="s">
        <v>901</v>
      </c>
      <c r="E44" s="196" t="s">
        <v>904</v>
      </c>
      <c r="F44" s="170"/>
      <c r="G44" s="163" t="s">
        <v>105</v>
      </c>
    </row>
    <row r="45" spans="2:7" ht="38.25">
      <c r="B45" s="169">
        <v>15</v>
      </c>
      <c r="C45" s="301" t="s">
        <v>884</v>
      </c>
      <c r="D45" s="211" t="s">
        <v>901</v>
      </c>
      <c r="E45" s="196" t="s">
        <v>904</v>
      </c>
      <c r="F45" s="170"/>
      <c r="G45" s="163" t="s">
        <v>105</v>
      </c>
    </row>
    <row r="46" spans="2:7" ht="25.5">
      <c r="B46" s="169">
        <v>16</v>
      </c>
      <c r="C46" s="301" t="s">
        <v>885</v>
      </c>
      <c r="D46" s="211" t="s">
        <v>901</v>
      </c>
      <c r="E46" s="196" t="s">
        <v>904</v>
      </c>
      <c r="F46" s="170"/>
      <c r="G46" s="163" t="s">
        <v>105</v>
      </c>
    </row>
    <row r="47" spans="2:7" ht="51">
      <c r="B47" s="169">
        <v>17</v>
      </c>
      <c r="C47" s="301" t="s">
        <v>902</v>
      </c>
      <c r="D47" s="211" t="s">
        <v>899</v>
      </c>
      <c r="E47" s="196" t="s">
        <v>904</v>
      </c>
      <c r="F47" s="170"/>
      <c r="G47" s="163" t="s">
        <v>105</v>
      </c>
    </row>
    <row r="48" spans="2:7" ht="38.25">
      <c r="B48" s="169">
        <v>18</v>
      </c>
      <c r="C48" s="301" t="s">
        <v>886</v>
      </c>
      <c r="D48" s="211" t="s">
        <v>901</v>
      </c>
      <c r="E48" s="196" t="s">
        <v>904</v>
      </c>
      <c r="F48" s="170"/>
      <c r="G48" s="163" t="s">
        <v>105</v>
      </c>
    </row>
    <row r="49" spans="2:7" ht="63.75">
      <c r="B49" s="169">
        <v>19</v>
      </c>
      <c r="C49" s="301" t="s">
        <v>887</v>
      </c>
      <c r="D49" s="211" t="s">
        <v>901</v>
      </c>
      <c r="E49" s="196" t="s">
        <v>904</v>
      </c>
      <c r="F49" s="170"/>
      <c r="G49" s="163" t="s">
        <v>105</v>
      </c>
    </row>
    <row r="50" spans="2:7" ht="25.5">
      <c r="B50" s="169">
        <v>20</v>
      </c>
      <c r="C50" s="301" t="s">
        <v>828</v>
      </c>
      <c r="D50" s="211" t="s">
        <v>901</v>
      </c>
      <c r="E50" s="196" t="s">
        <v>904</v>
      </c>
      <c r="F50" s="170"/>
      <c r="G50" s="163" t="s">
        <v>105</v>
      </c>
    </row>
    <row r="51" spans="2:7" ht="63.75">
      <c r="B51" s="169">
        <v>21</v>
      </c>
      <c r="C51" s="301" t="s">
        <v>903</v>
      </c>
      <c r="D51" s="211" t="s">
        <v>901</v>
      </c>
      <c r="E51" s="196" t="s">
        <v>904</v>
      </c>
      <c r="F51" s="170"/>
      <c r="G51" s="163" t="s">
        <v>105</v>
      </c>
    </row>
    <row r="52" spans="2:7" ht="76.5">
      <c r="B52" s="169">
        <v>22</v>
      </c>
      <c r="C52" s="301" t="s">
        <v>922</v>
      </c>
      <c r="D52" s="211" t="s">
        <v>901</v>
      </c>
      <c r="E52" s="196" t="s">
        <v>904</v>
      </c>
      <c r="F52" s="170"/>
      <c r="G52" s="163" t="s">
        <v>105</v>
      </c>
    </row>
    <row r="53" spans="2:7" ht="38.25">
      <c r="B53" s="169">
        <v>22</v>
      </c>
      <c r="C53" s="301" t="s">
        <v>799</v>
      </c>
      <c r="D53" s="211" t="s">
        <v>901</v>
      </c>
      <c r="E53" s="196" t="s">
        <v>904</v>
      </c>
      <c r="F53" s="170"/>
      <c r="G53" s="163" t="s">
        <v>106</v>
      </c>
    </row>
    <row r="54" spans="2:7" ht="38.25">
      <c r="B54" s="169">
        <v>23</v>
      </c>
      <c r="C54" s="301" t="s">
        <v>800</v>
      </c>
      <c r="D54" s="211" t="s">
        <v>901</v>
      </c>
      <c r="E54" s="196" t="s">
        <v>904</v>
      </c>
      <c r="F54" s="170"/>
      <c r="G54" s="163" t="s">
        <v>106</v>
      </c>
    </row>
    <row r="55" spans="2:7" ht="38.25">
      <c r="B55" s="169">
        <v>24</v>
      </c>
      <c r="C55" s="301" t="s">
        <v>801</v>
      </c>
      <c r="D55" s="211" t="s">
        <v>901</v>
      </c>
      <c r="E55" s="196" t="s">
        <v>904</v>
      </c>
      <c r="F55" s="170"/>
      <c r="G55" s="163" t="s">
        <v>106</v>
      </c>
    </row>
    <row r="56" spans="2:7" ht="25.5">
      <c r="B56" s="169">
        <v>25</v>
      </c>
      <c r="C56" s="301" t="s">
        <v>802</v>
      </c>
      <c r="D56" s="211" t="s">
        <v>901</v>
      </c>
      <c r="E56" s="196" t="s">
        <v>904</v>
      </c>
      <c r="F56" s="170"/>
      <c r="G56" s="163" t="s">
        <v>106</v>
      </c>
    </row>
    <row r="57" spans="2:7" ht="38.25">
      <c r="B57" s="169">
        <v>26</v>
      </c>
      <c r="C57" s="171" t="s">
        <v>456</v>
      </c>
      <c r="D57" s="211" t="s">
        <v>901</v>
      </c>
      <c r="E57" s="196" t="s">
        <v>904</v>
      </c>
      <c r="F57" s="170"/>
      <c r="G57" s="163" t="s">
        <v>106</v>
      </c>
    </row>
    <row r="58" spans="2:7" ht="51">
      <c r="B58" s="169">
        <v>27</v>
      </c>
      <c r="C58" s="301" t="s">
        <v>803</v>
      </c>
      <c r="D58" s="211" t="s">
        <v>901</v>
      </c>
      <c r="E58" s="196" t="s">
        <v>904</v>
      </c>
      <c r="F58" s="170"/>
      <c r="G58" s="163" t="s">
        <v>106</v>
      </c>
    </row>
    <row r="59" spans="2:7" ht="38.25">
      <c r="B59" s="169">
        <v>28</v>
      </c>
      <c r="C59" s="301" t="s">
        <v>805</v>
      </c>
      <c r="D59" s="211" t="s">
        <v>901</v>
      </c>
      <c r="E59" s="196" t="s">
        <v>904</v>
      </c>
      <c r="F59" s="170"/>
      <c r="G59" s="163" t="s">
        <v>106</v>
      </c>
    </row>
    <row r="60" spans="2:7" ht="38.25">
      <c r="B60" s="169">
        <v>29</v>
      </c>
      <c r="C60" s="301" t="s">
        <v>457</v>
      </c>
      <c r="D60" s="211" t="s">
        <v>901</v>
      </c>
      <c r="E60" s="196" t="s">
        <v>904</v>
      </c>
      <c r="F60" s="170"/>
      <c r="G60" s="163" t="s">
        <v>106</v>
      </c>
    </row>
    <row r="61" spans="2:7" ht="25.5">
      <c r="B61" s="169">
        <v>30</v>
      </c>
      <c r="C61" s="171" t="s">
        <v>461</v>
      </c>
      <c r="D61" s="211" t="s">
        <v>901</v>
      </c>
      <c r="E61" s="196" t="s">
        <v>904</v>
      </c>
      <c r="F61" s="170"/>
      <c r="G61" s="163" t="s">
        <v>106</v>
      </c>
    </row>
    <row r="62" spans="2:7" ht="25.5">
      <c r="B62" s="169">
        <v>31</v>
      </c>
      <c r="C62" s="171" t="s">
        <v>462</v>
      </c>
      <c r="D62" s="211" t="s">
        <v>901</v>
      </c>
      <c r="E62" s="196" t="s">
        <v>904</v>
      </c>
      <c r="F62" s="170"/>
      <c r="G62" s="163" t="s">
        <v>106</v>
      </c>
    </row>
    <row r="63" spans="2:7" ht="38.25">
      <c r="B63" s="169">
        <v>32</v>
      </c>
      <c r="C63" s="301" t="s">
        <v>820</v>
      </c>
      <c r="D63" s="211" t="s">
        <v>901</v>
      </c>
      <c r="E63" s="196" t="s">
        <v>904</v>
      </c>
      <c r="F63" s="170"/>
      <c r="G63" s="163" t="s">
        <v>106</v>
      </c>
    </row>
    <row r="64" spans="2:7" ht="25.5">
      <c r="B64" s="169">
        <v>33</v>
      </c>
      <c r="C64" s="171" t="s">
        <v>463</v>
      </c>
      <c r="D64" s="211" t="s">
        <v>901</v>
      </c>
      <c r="E64" s="196" t="s">
        <v>904</v>
      </c>
      <c r="F64" s="170"/>
      <c r="G64" s="163" t="s">
        <v>106</v>
      </c>
    </row>
    <row r="65" spans="2:7" ht="25.5">
      <c r="B65" s="169">
        <v>34</v>
      </c>
      <c r="C65" s="171" t="s">
        <v>464</v>
      </c>
      <c r="D65" s="211" t="s">
        <v>901</v>
      </c>
      <c r="E65" s="196" t="s">
        <v>904</v>
      </c>
      <c r="F65" s="170"/>
      <c r="G65" s="163" t="s">
        <v>106</v>
      </c>
    </row>
    <row r="66" spans="2:7" ht="25.5">
      <c r="B66" s="169">
        <v>35</v>
      </c>
      <c r="C66" s="331" t="s">
        <v>470</v>
      </c>
      <c r="D66" s="211" t="s">
        <v>901</v>
      </c>
      <c r="E66" s="196" t="s">
        <v>904</v>
      </c>
      <c r="F66" s="170"/>
      <c r="G66" s="163" t="s">
        <v>106</v>
      </c>
    </row>
    <row r="67" spans="2:7" ht="25.5">
      <c r="B67" s="169">
        <v>36</v>
      </c>
      <c r="C67" s="171" t="s">
        <v>475</v>
      </c>
      <c r="D67" s="211" t="s">
        <v>901</v>
      </c>
      <c r="E67" s="196" t="s">
        <v>904</v>
      </c>
      <c r="F67" s="170"/>
      <c r="G67" s="163" t="s">
        <v>106</v>
      </c>
    </row>
    <row r="68" spans="2:7" ht="63.75">
      <c r="B68" s="169">
        <v>37</v>
      </c>
      <c r="C68" s="172" t="s">
        <v>857</v>
      </c>
      <c r="D68" s="211" t="s">
        <v>901</v>
      </c>
      <c r="E68" s="196" t="s">
        <v>904</v>
      </c>
      <c r="F68" s="170"/>
      <c r="G68" s="163" t="s">
        <v>106</v>
      </c>
    </row>
    <row r="69" spans="2:7" ht="51">
      <c r="B69" s="169">
        <v>38</v>
      </c>
      <c r="C69" s="172" t="s">
        <v>858</v>
      </c>
      <c r="D69" s="211" t="s">
        <v>901</v>
      </c>
      <c r="E69" s="196" t="s">
        <v>904</v>
      </c>
      <c r="F69" s="170"/>
      <c r="G69" s="163" t="s">
        <v>106</v>
      </c>
    </row>
    <row r="70" spans="2:7" ht="51">
      <c r="B70" s="169">
        <v>39</v>
      </c>
      <c r="C70" s="172" t="s">
        <v>610</v>
      </c>
      <c r="D70" s="211" t="s">
        <v>901</v>
      </c>
      <c r="E70" s="196" t="s">
        <v>904</v>
      </c>
      <c r="F70" s="170"/>
      <c r="G70" s="163" t="s">
        <v>106</v>
      </c>
    </row>
    <row r="71" spans="2:7" ht="46.5" customHeight="1">
      <c r="B71" s="169">
        <v>40</v>
      </c>
      <c r="C71" s="332" t="s">
        <v>845</v>
      </c>
      <c r="D71" s="211" t="s">
        <v>901</v>
      </c>
      <c r="E71" s="196" t="s">
        <v>904</v>
      </c>
      <c r="F71" s="170"/>
      <c r="G71" s="163" t="s">
        <v>106</v>
      </c>
    </row>
    <row r="72" spans="2:7" ht="25.5">
      <c r="B72" s="169">
        <v>41</v>
      </c>
      <c r="C72" s="332" t="s">
        <v>856</v>
      </c>
      <c r="D72" s="211" t="s">
        <v>901</v>
      </c>
      <c r="E72" s="196" t="s">
        <v>904</v>
      </c>
      <c r="F72" s="170"/>
      <c r="G72" s="163" t="s">
        <v>106</v>
      </c>
    </row>
    <row r="73" spans="2:7" ht="25.5">
      <c r="B73" s="169">
        <v>42</v>
      </c>
      <c r="C73" s="332" t="s">
        <v>848</v>
      </c>
      <c r="D73" s="211" t="s">
        <v>901</v>
      </c>
      <c r="E73" s="196" t="s">
        <v>904</v>
      </c>
      <c r="F73" s="170"/>
      <c r="G73" s="163" t="s">
        <v>106</v>
      </c>
    </row>
    <row r="74" spans="2:7" ht="25.5">
      <c r="B74" s="169">
        <v>43</v>
      </c>
      <c r="C74" s="332" t="s">
        <v>849</v>
      </c>
      <c r="D74" s="211" t="s">
        <v>901</v>
      </c>
      <c r="E74" s="196" t="s">
        <v>904</v>
      </c>
      <c r="F74" s="170"/>
      <c r="G74" s="163" t="s">
        <v>106</v>
      </c>
    </row>
    <row r="75" spans="2:7" ht="25.5">
      <c r="B75" s="169">
        <v>44</v>
      </c>
      <c r="C75" s="332" t="s">
        <v>850</v>
      </c>
      <c r="D75" s="211" t="s">
        <v>901</v>
      </c>
      <c r="E75" s="196" t="s">
        <v>904</v>
      </c>
      <c r="F75" s="170"/>
      <c r="G75" s="163" t="s">
        <v>106</v>
      </c>
    </row>
    <row r="76" spans="2:7" ht="25.5">
      <c r="B76" s="169">
        <v>45</v>
      </c>
      <c r="C76" s="332" t="s">
        <v>851</v>
      </c>
      <c r="D76" s="211" t="s">
        <v>901</v>
      </c>
      <c r="E76" s="196" t="s">
        <v>904</v>
      </c>
      <c r="F76" s="170"/>
      <c r="G76" s="163" t="s">
        <v>106</v>
      </c>
    </row>
    <row r="77" spans="2:7" ht="25.5">
      <c r="B77" s="169">
        <v>46</v>
      </c>
      <c r="C77" s="332" t="s">
        <v>852</v>
      </c>
      <c r="D77" s="211" t="s">
        <v>901</v>
      </c>
      <c r="E77" s="196" t="s">
        <v>904</v>
      </c>
      <c r="F77" s="170"/>
      <c r="G77" s="163" t="s">
        <v>106</v>
      </c>
    </row>
    <row r="78" spans="2:7" ht="25.5">
      <c r="B78" s="169">
        <v>47</v>
      </c>
      <c r="C78" s="332" t="s">
        <v>853</v>
      </c>
      <c r="D78" s="211" t="s">
        <v>901</v>
      </c>
      <c r="E78" s="196" t="s">
        <v>904</v>
      </c>
      <c r="F78" s="170"/>
      <c r="G78" s="163" t="s">
        <v>106</v>
      </c>
    </row>
    <row r="79" spans="2:7" ht="25.5">
      <c r="B79" s="169">
        <v>48</v>
      </c>
      <c r="C79" s="332" t="s">
        <v>854</v>
      </c>
      <c r="D79" s="211" t="s">
        <v>901</v>
      </c>
      <c r="E79" s="196" t="s">
        <v>904</v>
      </c>
      <c r="F79" s="170"/>
      <c r="G79" s="163" t="s">
        <v>106</v>
      </c>
    </row>
    <row r="80" spans="2:7" ht="38.25">
      <c r="B80" s="169">
        <v>49</v>
      </c>
      <c r="C80" s="332" t="s">
        <v>855</v>
      </c>
      <c r="D80" s="211" t="s">
        <v>901</v>
      </c>
      <c r="E80" s="196" t="s">
        <v>904</v>
      </c>
      <c r="F80" s="170"/>
      <c r="G80" s="163" t="s">
        <v>106</v>
      </c>
    </row>
    <row r="81" spans="2:7" ht="46.5" customHeight="1">
      <c r="B81" s="169">
        <v>50</v>
      </c>
      <c r="C81" s="332" t="s">
        <v>847</v>
      </c>
      <c r="D81" s="211" t="s">
        <v>901</v>
      </c>
      <c r="E81" s="196" t="s">
        <v>904</v>
      </c>
      <c r="F81" s="170"/>
      <c r="G81" s="163" t="s">
        <v>106</v>
      </c>
    </row>
    <row r="82" spans="2:7" ht="25.5">
      <c r="B82" s="169">
        <v>51</v>
      </c>
      <c r="C82" s="171" t="s">
        <v>465</v>
      </c>
      <c r="D82" s="211" t="s">
        <v>901</v>
      </c>
      <c r="E82" s="196" t="s">
        <v>904</v>
      </c>
      <c r="F82" s="170"/>
      <c r="G82" s="163" t="s">
        <v>107</v>
      </c>
    </row>
    <row r="83" spans="2:7" ht="25.5">
      <c r="B83" s="169">
        <v>52</v>
      </c>
      <c r="C83" s="171" t="s">
        <v>466</v>
      </c>
      <c r="D83" s="211" t="s">
        <v>901</v>
      </c>
      <c r="E83" s="196" t="s">
        <v>904</v>
      </c>
      <c r="F83" s="170"/>
      <c r="G83" s="163" t="s">
        <v>107</v>
      </c>
    </row>
    <row r="84" spans="2:7" ht="38.25">
      <c r="B84" s="169">
        <v>53</v>
      </c>
      <c r="C84" s="301" t="s">
        <v>870</v>
      </c>
      <c r="D84" s="211" t="s">
        <v>901</v>
      </c>
      <c r="E84" s="196" t="s">
        <v>904</v>
      </c>
      <c r="F84" s="170"/>
      <c r="G84" s="163" t="s">
        <v>108</v>
      </c>
    </row>
    <row r="85" spans="2:7" ht="25.5">
      <c r="B85" s="169">
        <v>54</v>
      </c>
      <c r="C85" s="171" t="s">
        <v>473</v>
      </c>
      <c r="D85" s="211" t="s">
        <v>901</v>
      </c>
      <c r="E85" s="196" t="s">
        <v>904</v>
      </c>
      <c r="F85" s="170"/>
      <c r="G85" s="163" t="s">
        <v>108</v>
      </c>
    </row>
    <row r="86" spans="2:7" ht="25.5">
      <c r="B86" s="169">
        <v>55</v>
      </c>
      <c r="C86" s="304" t="s">
        <v>474</v>
      </c>
      <c r="D86" s="211" t="s">
        <v>901</v>
      </c>
      <c r="E86" s="196" t="s">
        <v>904</v>
      </c>
      <c r="F86" s="170"/>
      <c r="G86" s="163" t="s">
        <v>108</v>
      </c>
    </row>
    <row r="87" spans="2:7" ht="25.5">
      <c r="B87" s="169">
        <v>56</v>
      </c>
      <c r="C87" s="301" t="s">
        <v>459</v>
      </c>
      <c r="D87" s="211" t="s">
        <v>901</v>
      </c>
      <c r="E87" s="196" t="s">
        <v>904</v>
      </c>
      <c r="F87" s="170"/>
      <c r="G87" s="163" t="s">
        <v>255</v>
      </c>
    </row>
    <row r="88" spans="2:7" ht="25.5">
      <c r="B88" s="169">
        <v>57</v>
      </c>
      <c r="C88" s="171" t="s">
        <v>460</v>
      </c>
      <c r="D88" s="211" t="s">
        <v>901</v>
      </c>
      <c r="E88" s="196" t="s">
        <v>904</v>
      </c>
      <c r="F88" s="170"/>
      <c r="G88" s="163" t="s">
        <v>255</v>
      </c>
    </row>
    <row r="89" spans="2:7" ht="38.25">
      <c r="B89" s="169">
        <v>58</v>
      </c>
      <c r="C89" s="301" t="s">
        <v>818</v>
      </c>
      <c r="D89" s="211" t="s">
        <v>901</v>
      </c>
      <c r="E89" s="196" t="s">
        <v>904</v>
      </c>
      <c r="F89" s="170"/>
      <c r="G89" s="163" t="s">
        <v>255</v>
      </c>
    </row>
    <row r="90" spans="2:7" ht="25.5">
      <c r="B90" s="169">
        <v>59</v>
      </c>
      <c r="C90" s="171" t="s">
        <v>468</v>
      </c>
      <c r="D90" s="211" t="s">
        <v>901</v>
      </c>
      <c r="E90" s="196" t="s">
        <v>904</v>
      </c>
      <c r="F90" s="170"/>
      <c r="G90" s="163" t="s">
        <v>255</v>
      </c>
    </row>
    <row r="91" spans="2:7" ht="25.5">
      <c r="B91" s="169">
        <v>60</v>
      </c>
      <c r="C91" s="171" t="s">
        <v>469</v>
      </c>
      <c r="D91" s="211" t="s">
        <v>901</v>
      </c>
      <c r="E91" s="196" t="s">
        <v>904</v>
      </c>
      <c r="F91" s="170"/>
      <c r="G91" s="163" t="s">
        <v>255</v>
      </c>
    </row>
    <row r="92" spans="2:7" ht="51">
      <c r="B92" s="169">
        <v>61</v>
      </c>
      <c r="C92" s="301" t="s">
        <v>789</v>
      </c>
      <c r="D92" s="211" t="s">
        <v>901</v>
      </c>
      <c r="E92" s="196" t="s">
        <v>904</v>
      </c>
      <c r="F92" s="170"/>
      <c r="G92" s="163" t="s">
        <v>255</v>
      </c>
    </row>
    <row r="93" spans="2:7" ht="63.75">
      <c r="B93" s="169">
        <v>62</v>
      </c>
      <c r="C93" s="301" t="s">
        <v>814</v>
      </c>
      <c r="D93" s="211" t="s">
        <v>901</v>
      </c>
      <c r="E93" s="196" t="s">
        <v>904</v>
      </c>
      <c r="F93" s="170"/>
      <c r="G93" s="163" t="s">
        <v>255</v>
      </c>
    </row>
    <row r="94" spans="2:7" ht="25.5">
      <c r="B94" s="169">
        <v>63</v>
      </c>
      <c r="C94" s="331" t="s">
        <v>481</v>
      </c>
      <c r="D94" s="211" t="s">
        <v>901</v>
      </c>
      <c r="E94" s="196" t="s">
        <v>904</v>
      </c>
      <c r="F94" s="170"/>
      <c r="G94" s="163" t="s">
        <v>255</v>
      </c>
    </row>
    <row r="95" spans="2:7" ht="38.25">
      <c r="B95" s="169">
        <v>64</v>
      </c>
      <c r="C95" s="333" t="s">
        <v>471</v>
      </c>
      <c r="D95" s="211" t="s">
        <v>901</v>
      </c>
      <c r="E95" s="196" t="s">
        <v>904</v>
      </c>
      <c r="F95" s="170"/>
      <c r="G95" s="163" t="s">
        <v>255</v>
      </c>
    </row>
    <row r="96" spans="2:7" ht="25.5">
      <c r="B96" s="169">
        <v>65</v>
      </c>
      <c r="C96" s="334" t="s">
        <v>472</v>
      </c>
      <c r="D96" s="211" t="s">
        <v>901</v>
      </c>
      <c r="E96" s="196" t="s">
        <v>904</v>
      </c>
      <c r="F96" s="170"/>
      <c r="G96" s="163" t="s">
        <v>255</v>
      </c>
    </row>
    <row r="97" spans="2:7" ht="25.5">
      <c r="B97" s="169">
        <v>66</v>
      </c>
      <c r="C97" s="171" t="s">
        <v>477</v>
      </c>
      <c r="D97" s="211" t="s">
        <v>901</v>
      </c>
      <c r="E97" s="196" t="s">
        <v>904</v>
      </c>
      <c r="F97" s="170"/>
      <c r="G97" s="163" t="s">
        <v>255</v>
      </c>
    </row>
    <row r="98" spans="2:7" ht="25.5">
      <c r="B98" s="169">
        <v>67</v>
      </c>
      <c r="C98" s="172" t="s">
        <v>667</v>
      </c>
      <c r="D98" s="211" t="s">
        <v>901</v>
      </c>
      <c r="E98" s="196" t="s">
        <v>904</v>
      </c>
      <c r="F98" s="170"/>
      <c r="G98" s="163" t="s">
        <v>255</v>
      </c>
    </row>
    <row r="99" spans="2:7" ht="51">
      <c r="B99" s="169">
        <v>68</v>
      </c>
      <c r="C99" s="172" t="s">
        <v>836</v>
      </c>
      <c r="D99" s="211" t="s">
        <v>901</v>
      </c>
      <c r="E99" s="196" t="s">
        <v>904</v>
      </c>
      <c r="F99" s="170"/>
      <c r="G99" s="163" t="s">
        <v>255</v>
      </c>
    </row>
    <row r="100" spans="2:7" ht="25.5">
      <c r="B100" s="169">
        <v>69</v>
      </c>
      <c r="C100" s="172" t="s">
        <v>846</v>
      </c>
      <c r="D100" s="211" t="s">
        <v>901</v>
      </c>
      <c r="E100" s="196" t="s">
        <v>904</v>
      </c>
      <c r="F100" s="170"/>
      <c r="G100" s="163" t="s">
        <v>255</v>
      </c>
    </row>
    <row r="101" spans="2:7" ht="25.5">
      <c r="B101" s="169">
        <v>70</v>
      </c>
      <c r="C101" s="172" t="s">
        <v>668</v>
      </c>
      <c r="D101" s="211" t="s">
        <v>901</v>
      </c>
      <c r="E101" s="196" t="s">
        <v>904</v>
      </c>
      <c r="F101" s="170"/>
      <c r="G101" s="163" t="s">
        <v>255</v>
      </c>
    </row>
    <row r="102" spans="2:7" ht="63.75">
      <c r="B102" s="169">
        <v>71</v>
      </c>
      <c r="C102" s="301" t="s">
        <v>838</v>
      </c>
      <c r="D102" s="211" t="s">
        <v>901</v>
      </c>
      <c r="E102" s="196" t="s">
        <v>904</v>
      </c>
      <c r="F102" s="170"/>
      <c r="G102" s="163" t="s">
        <v>302</v>
      </c>
    </row>
    <row r="103" spans="2:7" ht="76.5">
      <c r="B103" s="169">
        <v>72</v>
      </c>
      <c r="C103" s="301" t="s">
        <v>837</v>
      </c>
      <c r="D103" s="211" t="s">
        <v>901</v>
      </c>
      <c r="E103" s="196" t="s">
        <v>904</v>
      </c>
      <c r="F103" s="170"/>
      <c r="G103" s="163" t="s">
        <v>302</v>
      </c>
    </row>
    <row r="104" spans="2:7" ht="76.5">
      <c r="B104" s="169">
        <v>73</v>
      </c>
      <c r="C104" s="301" t="s">
        <v>871</v>
      </c>
      <c r="D104" s="211" t="s">
        <v>901</v>
      </c>
      <c r="E104" s="196" t="s">
        <v>904</v>
      </c>
      <c r="F104" s="170"/>
      <c r="G104" s="163" t="s">
        <v>302</v>
      </c>
    </row>
    <row r="105" spans="2:7" ht="127.5">
      <c r="B105" s="169">
        <v>74</v>
      </c>
      <c r="C105" s="301" t="s">
        <v>872</v>
      </c>
      <c r="D105" s="211" t="s">
        <v>901</v>
      </c>
      <c r="E105" s="196" t="s">
        <v>904</v>
      </c>
      <c r="F105" s="170"/>
      <c r="G105" s="163" t="s">
        <v>302</v>
      </c>
    </row>
    <row r="106" spans="2:7" ht="114.75">
      <c r="B106" s="169">
        <v>75</v>
      </c>
      <c r="C106" s="301" t="s">
        <v>874</v>
      </c>
      <c r="D106" s="211" t="s">
        <v>901</v>
      </c>
      <c r="E106" s="196" t="s">
        <v>904</v>
      </c>
      <c r="F106" s="170"/>
      <c r="G106" s="163" t="s">
        <v>302</v>
      </c>
    </row>
    <row r="107" spans="2:7" ht="89.25">
      <c r="B107" s="169">
        <v>76</v>
      </c>
      <c r="C107" s="301" t="s">
        <v>873</v>
      </c>
      <c r="D107" s="211" t="s">
        <v>901</v>
      </c>
      <c r="E107" s="196" t="s">
        <v>904</v>
      </c>
      <c r="F107" s="170"/>
      <c r="G107" s="163" t="s">
        <v>302</v>
      </c>
    </row>
    <row r="108" spans="2:7" ht="25.5">
      <c r="B108" s="169">
        <v>77</v>
      </c>
      <c r="C108" s="301" t="s">
        <v>839</v>
      </c>
      <c r="D108" s="211" t="s">
        <v>901</v>
      </c>
      <c r="E108" s="196" t="s">
        <v>904</v>
      </c>
      <c r="F108" s="170"/>
      <c r="G108" s="163" t="s">
        <v>302</v>
      </c>
    </row>
    <row r="109" spans="2:7" ht="63.75">
      <c r="B109" s="169">
        <v>78</v>
      </c>
      <c r="C109" s="301" t="s">
        <v>898</v>
      </c>
      <c r="D109" s="211" t="s">
        <v>901</v>
      </c>
      <c r="E109" s="196" t="s">
        <v>904</v>
      </c>
      <c r="F109" s="170"/>
      <c r="G109" s="163" t="s">
        <v>657</v>
      </c>
    </row>
    <row r="110" spans="2:7" ht="63.75">
      <c r="B110" s="169">
        <v>79</v>
      </c>
      <c r="C110" s="301" t="s">
        <v>798</v>
      </c>
      <c r="D110" s="211" t="s">
        <v>901</v>
      </c>
      <c r="E110" s="196" t="s">
        <v>904</v>
      </c>
      <c r="F110" s="170"/>
      <c r="G110" s="163" t="s">
        <v>657</v>
      </c>
    </row>
    <row r="111" spans="2:7" ht="89.25">
      <c r="B111" s="169">
        <v>80</v>
      </c>
      <c r="C111" s="301" t="s">
        <v>869</v>
      </c>
      <c r="D111" s="211" t="s">
        <v>901</v>
      </c>
      <c r="E111" s="196" t="s">
        <v>904</v>
      </c>
      <c r="F111" s="170"/>
      <c r="G111" s="163" t="s">
        <v>657</v>
      </c>
    </row>
    <row r="112" spans="2:7" ht="51">
      <c r="B112" s="169">
        <v>81</v>
      </c>
      <c r="C112" s="301" t="s">
        <v>888</v>
      </c>
      <c r="D112" s="211" t="s">
        <v>901</v>
      </c>
      <c r="E112" s="196" t="s">
        <v>904</v>
      </c>
      <c r="F112" s="170"/>
      <c r="G112" s="163" t="s">
        <v>657</v>
      </c>
    </row>
    <row r="113" spans="2:9" ht="51">
      <c r="B113" s="169">
        <v>82</v>
      </c>
      <c r="C113" s="172" t="s">
        <v>720</v>
      </c>
      <c r="D113" s="211" t="s">
        <v>901</v>
      </c>
      <c r="E113" s="196" t="s">
        <v>904</v>
      </c>
      <c r="F113" s="170"/>
      <c r="G113" s="163" t="s">
        <v>657</v>
      </c>
    </row>
    <row r="114" spans="2:9" ht="89.25">
      <c r="B114" s="169">
        <v>83</v>
      </c>
      <c r="C114" s="172" t="s">
        <v>721</v>
      </c>
      <c r="D114" s="211" t="s">
        <v>901</v>
      </c>
      <c r="E114" s="196" t="s">
        <v>904</v>
      </c>
      <c r="F114" s="170"/>
      <c r="G114" s="163" t="s">
        <v>657</v>
      </c>
    </row>
    <row r="115" spans="2:9" ht="38.25">
      <c r="B115" s="169">
        <v>84</v>
      </c>
      <c r="C115" s="301" t="s">
        <v>831</v>
      </c>
      <c r="D115" s="211" t="s">
        <v>901</v>
      </c>
      <c r="E115" s="196" t="s">
        <v>904</v>
      </c>
      <c r="F115" s="170"/>
      <c r="G115" s="163" t="s">
        <v>657</v>
      </c>
    </row>
    <row r="116" spans="2:9" ht="51">
      <c r="B116" s="169">
        <v>85</v>
      </c>
      <c r="C116" s="301" t="s">
        <v>478</v>
      </c>
      <c r="D116" s="211" t="s">
        <v>901</v>
      </c>
      <c r="E116" s="196" t="s">
        <v>904</v>
      </c>
      <c r="F116" s="170"/>
      <c r="G116" s="163" t="s">
        <v>657</v>
      </c>
    </row>
    <row r="117" spans="2:9" ht="25.5">
      <c r="B117" s="169">
        <v>86</v>
      </c>
      <c r="C117" s="171" t="s">
        <v>479</v>
      </c>
      <c r="D117" s="211" t="s">
        <v>901</v>
      </c>
      <c r="E117" s="196" t="s">
        <v>904</v>
      </c>
      <c r="F117" s="170"/>
      <c r="G117" s="163" t="s">
        <v>657</v>
      </c>
    </row>
    <row r="118" spans="2:9" ht="25.5">
      <c r="B118" s="169">
        <v>87</v>
      </c>
      <c r="C118" s="335" t="s">
        <v>832</v>
      </c>
      <c r="D118" s="211" t="s">
        <v>901</v>
      </c>
      <c r="E118" s="196" t="s">
        <v>904</v>
      </c>
      <c r="F118" s="170"/>
      <c r="G118" s="163" t="s">
        <v>657</v>
      </c>
    </row>
    <row r="119" spans="2:9" ht="38.25">
      <c r="B119" s="169">
        <v>88</v>
      </c>
      <c r="C119" s="172" t="s">
        <v>833</v>
      </c>
      <c r="D119" s="211" t="s">
        <v>901</v>
      </c>
      <c r="E119" s="196" t="s">
        <v>904</v>
      </c>
      <c r="F119" s="170"/>
      <c r="G119" s="163" t="s">
        <v>657</v>
      </c>
    </row>
    <row r="120" spans="2:9" ht="25.5">
      <c r="B120" s="169">
        <v>89</v>
      </c>
      <c r="C120" s="172" t="s">
        <v>834</v>
      </c>
      <c r="D120" s="211" t="s">
        <v>901</v>
      </c>
      <c r="E120" s="196" t="s">
        <v>904</v>
      </c>
      <c r="F120" s="170"/>
      <c r="G120" s="163" t="s">
        <v>657</v>
      </c>
    </row>
    <row r="121" spans="2:9" ht="25.5">
      <c r="B121" s="169">
        <v>90</v>
      </c>
      <c r="C121" s="172" t="s">
        <v>835</v>
      </c>
      <c r="D121" s="211" t="s">
        <v>901</v>
      </c>
      <c r="E121" s="196" t="s">
        <v>904</v>
      </c>
      <c r="F121" s="170"/>
      <c r="G121" s="163" t="s">
        <v>657</v>
      </c>
    </row>
    <row r="122" spans="2:9" ht="25.5">
      <c r="B122" s="169">
        <v>91</v>
      </c>
      <c r="C122" s="172" t="s">
        <v>669</v>
      </c>
      <c r="D122" s="211" t="s">
        <v>901</v>
      </c>
      <c r="E122" s="196" t="s">
        <v>904</v>
      </c>
      <c r="F122" s="170"/>
      <c r="G122" s="163" t="s">
        <v>657</v>
      </c>
    </row>
    <row r="123" spans="2:9" ht="38.25">
      <c r="B123" s="169">
        <v>92</v>
      </c>
      <c r="C123" s="172" t="s">
        <v>590</v>
      </c>
      <c r="D123" s="211" t="s">
        <v>901</v>
      </c>
      <c r="E123" s="196" t="s">
        <v>904</v>
      </c>
      <c r="F123" s="170"/>
      <c r="G123" s="163" t="s">
        <v>657</v>
      </c>
    </row>
    <row r="124" spans="2:9" ht="89.25">
      <c r="B124" s="169">
        <v>93</v>
      </c>
      <c r="C124" s="172" t="s">
        <v>649</v>
      </c>
      <c r="D124" s="211" t="s">
        <v>901</v>
      </c>
      <c r="E124" s="196" t="s">
        <v>904</v>
      </c>
      <c r="F124" s="170"/>
      <c r="G124" s="163" t="s">
        <v>657</v>
      </c>
    </row>
    <row r="125" spans="2:9" ht="25.5">
      <c r="B125" s="169">
        <v>94</v>
      </c>
      <c r="C125" s="301" t="s">
        <v>875</v>
      </c>
      <c r="D125" s="211" t="s">
        <v>901</v>
      </c>
      <c r="E125" s="196" t="s">
        <v>904</v>
      </c>
      <c r="F125" s="170"/>
      <c r="G125" s="163" t="s">
        <v>657</v>
      </c>
    </row>
    <row r="126" spans="2:9" ht="26.25" thickBot="1">
      <c r="B126" s="212">
        <v>95</v>
      </c>
      <c r="C126" s="336" t="s">
        <v>840</v>
      </c>
      <c r="D126" s="213" t="s">
        <v>901</v>
      </c>
      <c r="E126" s="219" t="s">
        <v>904</v>
      </c>
      <c r="F126" s="214"/>
      <c r="G126" s="215" t="s">
        <v>657</v>
      </c>
    </row>
    <row r="128" spans="2:9">
      <c r="B128" s="84"/>
      <c r="C128" s="146"/>
      <c r="D128" s="146"/>
      <c r="E128" s="29"/>
      <c r="F128" s="29"/>
      <c r="G128" s="29"/>
      <c r="H128" s="29"/>
      <c r="I128" s="29"/>
    </row>
    <row r="129" spans="2:9" ht="14.25">
      <c r="B129" s="286" t="s">
        <v>706</v>
      </c>
      <c r="C129" s="287"/>
      <c r="D129" s="287"/>
      <c r="E129" s="287"/>
      <c r="F129" s="287"/>
      <c r="G129" s="287"/>
      <c r="H129" s="287"/>
      <c r="I129" s="287"/>
    </row>
    <row r="130" spans="2:9" ht="38.25">
      <c r="B130" s="28"/>
      <c r="C130" s="28" t="s">
        <v>678</v>
      </c>
      <c r="D130" s="28"/>
      <c r="E130" s="28"/>
      <c r="F130" s="28"/>
      <c r="G130" s="28"/>
      <c r="H130" s="28"/>
      <c r="I130" s="28"/>
    </row>
    <row r="131" spans="2:9">
      <c r="C131" s="35" t="s">
        <v>679</v>
      </c>
    </row>
    <row r="132" spans="2:9">
      <c r="B132" s="84"/>
      <c r="C132" s="85"/>
      <c r="D132" s="85"/>
    </row>
  </sheetData>
  <sortState ref="B15:F23">
    <sortCondition descending="1" ref="F15:F23"/>
  </sortState>
  <mergeCells count="11">
    <mergeCell ref="B9:C9"/>
    <mergeCell ref="B10:C10"/>
    <mergeCell ref="B11:C11"/>
    <mergeCell ref="B13:I13"/>
    <mergeCell ref="B129:I129"/>
    <mergeCell ref="B8:C8"/>
    <mergeCell ref="B2:F2"/>
    <mergeCell ref="B3:C3"/>
    <mergeCell ref="B4:C4"/>
    <mergeCell ref="B6:C6"/>
    <mergeCell ref="B7:C7"/>
  </mergeCells>
  <dataValidations count="1">
    <dataValidation type="list" showInputMessage="1" showErrorMessage="1" sqref="E32:E126">
      <formula1>"OFRECIDO, NO OFRECIDO"</formula1>
    </dataValidation>
  </dataValidations>
  <pageMargins left="0.7" right="0.7" top="0.75" bottom="0.75" header="0.3" footer="0.3"/>
  <pageSetup orientation="portrait" r:id="rId1"/>
  <customProperties>
    <customPr name="DVSECTIONID" r:id="rId2"/>
  </customProperties>
</worksheet>
</file>

<file path=xl/worksheets/sheet23.xml><?xml version="1.0" encoding="utf-8"?>
<worksheet xmlns="http://schemas.openxmlformats.org/spreadsheetml/2006/main" xmlns:r="http://schemas.openxmlformats.org/officeDocument/2006/relationships">
  <sheetPr>
    <tabColor rgb="FFCC3300"/>
  </sheetPr>
  <dimension ref="B1:C16"/>
  <sheetViews>
    <sheetView tabSelected="1" workbookViewId="0"/>
  </sheetViews>
  <sheetFormatPr defaultRowHeight="12.75"/>
  <cols>
    <col min="2" max="2" width="35.140625" bestFit="1" customWidth="1"/>
    <col min="3" max="3" width="59.42578125" customWidth="1"/>
  </cols>
  <sheetData>
    <row r="1" spans="2:3" ht="13.5" thickBot="1"/>
    <row r="2" spans="2:3">
      <c r="B2" s="135" t="s">
        <v>744</v>
      </c>
      <c r="C2" s="67" t="s">
        <v>703</v>
      </c>
    </row>
    <row r="3" spans="2:3">
      <c r="B3" s="143" t="s">
        <v>759</v>
      </c>
      <c r="C3" s="139"/>
    </row>
    <row r="4" spans="2:3" ht="38.25">
      <c r="B4" s="136" t="s">
        <v>738</v>
      </c>
      <c r="C4" s="77" t="s">
        <v>745</v>
      </c>
    </row>
    <row r="5" spans="2:3" ht="38.25">
      <c r="B5" s="136" t="s">
        <v>739</v>
      </c>
      <c r="C5" s="77" t="s">
        <v>746</v>
      </c>
    </row>
    <row r="6" spans="2:3" ht="63.75">
      <c r="B6" s="136" t="s">
        <v>740</v>
      </c>
      <c r="C6" s="77" t="s">
        <v>747</v>
      </c>
    </row>
    <row r="7" spans="2:3" ht="63.75">
      <c r="B7" s="136" t="s">
        <v>741</v>
      </c>
      <c r="C7" s="77" t="s">
        <v>747</v>
      </c>
    </row>
    <row r="8" spans="2:3">
      <c r="B8" s="140"/>
      <c r="C8" s="141"/>
    </row>
    <row r="9" spans="2:3">
      <c r="B9" s="140"/>
      <c r="C9" s="141"/>
    </row>
    <row r="10" spans="2:3">
      <c r="B10" s="143" t="s">
        <v>760</v>
      </c>
      <c r="C10" s="142"/>
    </row>
    <row r="11" spans="2:3" ht="38.25">
      <c r="B11" s="144" t="s">
        <v>761</v>
      </c>
      <c r="C11" s="145" t="s">
        <v>767</v>
      </c>
    </row>
    <row r="12" spans="2:3" ht="38.25">
      <c r="B12" s="144" t="s">
        <v>762</v>
      </c>
      <c r="C12" s="145" t="s">
        <v>766</v>
      </c>
    </row>
    <row r="13" spans="2:3" ht="51">
      <c r="B13" s="144" t="s">
        <v>763</v>
      </c>
      <c r="C13" s="145" t="s">
        <v>765</v>
      </c>
    </row>
    <row r="14" spans="2:3" ht="38.25">
      <c r="B14" s="144" t="s">
        <v>770</v>
      </c>
      <c r="C14" s="145" t="s">
        <v>769</v>
      </c>
    </row>
    <row r="15" spans="2:3">
      <c r="B15" s="143" t="s">
        <v>764</v>
      </c>
      <c r="C15" s="142"/>
    </row>
    <row r="16" spans="2:3" ht="51.75" thickBot="1">
      <c r="B16" s="137" t="s">
        <v>743</v>
      </c>
      <c r="C16" s="78" t="s">
        <v>748</v>
      </c>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dimension ref="B2:O16"/>
  <sheetViews>
    <sheetView workbookViewId="0">
      <selection activeCell="B6" sqref="B6"/>
    </sheetView>
  </sheetViews>
  <sheetFormatPr defaultRowHeight="12.75"/>
  <cols>
    <col min="1" max="1" width="2.28515625" customWidth="1"/>
    <col min="2" max="2" width="53" customWidth="1"/>
    <col min="3" max="16" width="3.28515625" bestFit="1" customWidth="1"/>
  </cols>
  <sheetData>
    <row r="2" spans="2:15" s="29" customFormat="1">
      <c r="B2" s="28" t="s">
        <v>606</v>
      </c>
      <c r="C2" s="30"/>
      <c r="D2" s="30"/>
      <c r="E2" s="30"/>
      <c r="F2" s="30"/>
      <c r="G2" s="30"/>
      <c r="H2" s="30"/>
      <c r="I2" s="30"/>
      <c r="J2" s="30"/>
      <c r="K2" s="30"/>
      <c r="L2" s="30"/>
      <c r="M2" s="30"/>
      <c r="N2" s="30"/>
      <c r="O2" s="30"/>
    </row>
    <row r="3" spans="2:15" s="29" customFormat="1">
      <c r="B3" s="28" t="s">
        <v>99</v>
      </c>
      <c r="E3" s="30"/>
    </row>
    <row r="4" spans="2:15" s="29" customFormat="1">
      <c r="B4" s="28" t="s">
        <v>102</v>
      </c>
      <c r="E4" s="30"/>
    </row>
    <row r="5" spans="2:15" s="29" customFormat="1">
      <c r="B5" s="28" t="s">
        <v>109</v>
      </c>
    </row>
    <row r="6" spans="2:15" s="29" customFormat="1">
      <c r="B6" s="28" t="s">
        <v>110</v>
      </c>
    </row>
    <row r="7" spans="2:15">
      <c r="B7" s="28" t="s">
        <v>130</v>
      </c>
    </row>
    <row r="8" spans="2:15">
      <c r="B8" s="28" t="s">
        <v>131</v>
      </c>
    </row>
    <row r="9" spans="2:15">
      <c r="B9" s="28" t="s">
        <v>605</v>
      </c>
    </row>
    <row r="10" spans="2:15">
      <c r="B10" s="34" t="s">
        <v>114</v>
      </c>
    </row>
    <row r="11" spans="2:15">
      <c r="B11" s="34" t="s">
        <v>115</v>
      </c>
    </row>
    <row r="12" spans="2:15">
      <c r="B12" s="34" t="s">
        <v>116</v>
      </c>
    </row>
    <row r="13" spans="2:15">
      <c r="B13" s="34" t="s">
        <v>117</v>
      </c>
    </row>
    <row r="14" spans="2:15">
      <c r="B14" s="34" t="s">
        <v>118</v>
      </c>
    </row>
    <row r="15" spans="2:15">
      <c r="B15" s="34" t="s">
        <v>119</v>
      </c>
    </row>
    <row r="16" spans="2:15" ht="12" customHeight="1"/>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dimension ref="B1:C13"/>
  <sheetViews>
    <sheetView workbookViewId="0">
      <selection activeCell="C10" sqref="C10"/>
    </sheetView>
  </sheetViews>
  <sheetFormatPr defaultRowHeight="12.75"/>
  <cols>
    <col min="1" max="1" width="2.5703125" customWidth="1"/>
    <col min="2" max="2" width="82.85546875" customWidth="1"/>
    <col min="3" max="3" width="28.7109375" bestFit="1" customWidth="1"/>
  </cols>
  <sheetData>
    <row r="1" spans="2:3" ht="13.5" thickBot="1"/>
    <row r="2" spans="2:3" ht="13.5" thickTop="1">
      <c r="B2" s="62" t="s">
        <v>621</v>
      </c>
      <c r="C2" s="63" t="s">
        <v>622</v>
      </c>
    </row>
    <row r="3" spans="2:3">
      <c r="B3" s="58" t="s">
        <v>624</v>
      </c>
      <c r="C3" s="59" t="s">
        <v>620</v>
      </c>
    </row>
    <row r="4" spans="2:3">
      <c r="B4" s="58" t="s">
        <v>638</v>
      </c>
      <c r="C4" s="59" t="s">
        <v>623</v>
      </c>
    </row>
    <row r="5" spans="2:3">
      <c r="B5" s="58" t="s">
        <v>639</v>
      </c>
      <c r="C5" s="59" t="s">
        <v>623</v>
      </c>
    </row>
    <row r="6" spans="2:3">
      <c r="B6" s="58" t="s">
        <v>640</v>
      </c>
      <c r="C6" s="59" t="s">
        <v>623</v>
      </c>
    </row>
    <row r="7" spans="2:3">
      <c r="B7" s="58" t="s">
        <v>641</v>
      </c>
      <c r="C7" s="59" t="s">
        <v>623</v>
      </c>
    </row>
    <row r="8" spans="2:3">
      <c r="B8" s="58" t="s">
        <v>642</v>
      </c>
      <c r="C8" s="59" t="s">
        <v>623</v>
      </c>
    </row>
    <row r="9" spans="2:3">
      <c r="B9" s="58" t="s">
        <v>643</v>
      </c>
      <c r="C9" s="59" t="s">
        <v>625</v>
      </c>
    </row>
    <row r="10" spans="2:3">
      <c r="B10" s="58" t="s">
        <v>644</v>
      </c>
      <c r="C10" s="59" t="s">
        <v>625</v>
      </c>
    </row>
    <row r="11" spans="2:3">
      <c r="B11" s="58" t="s">
        <v>645</v>
      </c>
      <c r="C11" s="59" t="s">
        <v>625</v>
      </c>
    </row>
    <row r="12" spans="2:3" ht="13.5" thickBot="1">
      <c r="B12" s="60" t="s">
        <v>646</v>
      </c>
      <c r="C12" s="61" t="s">
        <v>629</v>
      </c>
    </row>
    <row r="13" spans="2:3" ht="13.5" thickTop="1"/>
  </sheetData>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sheetPr>
    <tabColor rgb="FFCC3300"/>
  </sheetPr>
  <dimension ref="B1:C8"/>
  <sheetViews>
    <sheetView workbookViewId="0"/>
  </sheetViews>
  <sheetFormatPr defaultRowHeight="12.75"/>
  <cols>
    <col min="1" max="1" width="3.42578125" customWidth="1"/>
    <col min="2" max="2" width="49.42578125" bestFit="1" customWidth="1"/>
    <col min="3" max="3" width="76.42578125" customWidth="1"/>
  </cols>
  <sheetData>
    <row r="1" spans="2:3" ht="13.5" thickBot="1"/>
    <row r="2" spans="2:3">
      <c r="B2" s="135" t="s">
        <v>749</v>
      </c>
      <c r="C2" s="67" t="s">
        <v>703</v>
      </c>
    </row>
    <row r="3" spans="2:3" ht="51">
      <c r="B3" s="136" t="s">
        <v>735</v>
      </c>
      <c r="C3" s="77" t="s">
        <v>751</v>
      </c>
    </row>
    <row r="4" spans="2:3" ht="38.25">
      <c r="B4" s="136" t="s">
        <v>736</v>
      </c>
      <c r="C4" s="77" t="s">
        <v>750</v>
      </c>
    </row>
    <row r="5" spans="2:3" ht="51">
      <c r="B5" s="136" t="s">
        <v>841</v>
      </c>
      <c r="C5" s="77" t="s">
        <v>752</v>
      </c>
    </row>
    <row r="6" spans="2:3" ht="38.25">
      <c r="B6" s="136" t="s">
        <v>737</v>
      </c>
      <c r="C6" s="77" t="s">
        <v>754</v>
      </c>
    </row>
    <row r="7" spans="2:3" ht="51">
      <c r="B7" s="138" t="s">
        <v>756</v>
      </c>
      <c r="C7" s="77" t="s">
        <v>755</v>
      </c>
    </row>
    <row r="8" spans="2:3" ht="51.75" thickBot="1">
      <c r="B8" s="137" t="s">
        <v>742</v>
      </c>
      <c r="C8" s="78" t="s">
        <v>757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theme="0"/>
  </sheetPr>
  <dimension ref="A1:C8"/>
  <sheetViews>
    <sheetView workbookViewId="0">
      <selection activeCell="A4" sqref="A4"/>
    </sheetView>
  </sheetViews>
  <sheetFormatPr defaultRowHeight="12.75"/>
  <cols>
    <col min="1" max="1" width="87.42578125" bestFit="1" customWidth="1"/>
    <col min="2" max="2" width="18.5703125" style="65" customWidth="1"/>
    <col min="3" max="3" width="25.140625" style="65" customWidth="1"/>
  </cols>
  <sheetData>
    <row r="1" spans="1:1" ht="15">
      <c r="A1" s="83" t="s">
        <v>687</v>
      </c>
    </row>
    <row r="4" spans="1:1">
      <c r="A4" s="64" t="s">
        <v>708</v>
      </c>
    </row>
    <row r="5" spans="1:1">
      <c r="A5" s="64" t="s">
        <v>716</v>
      </c>
    </row>
    <row r="6" spans="1:1" ht="25.5">
      <c r="A6" s="64" t="s">
        <v>866</v>
      </c>
    </row>
    <row r="7" spans="1:1">
      <c r="A7" s="64" t="s">
        <v>930</v>
      </c>
    </row>
    <row r="8" spans="1:1">
      <c r="A8" t="s">
        <v>753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rgb="FF00B050"/>
  </sheetPr>
  <dimension ref="B1:J104"/>
  <sheetViews>
    <sheetView topLeftCell="A7" zoomScale="70" zoomScaleNormal="70" workbookViewId="0">
      <selection activeCell="C33" sqref="C33:C97"/>
    </sheetView>
  </sheetViews>
  <sheetFormatPr defaultColWidth="9.140625" defaultRowHeight="12.75"/>
  <cols>
    <col min="1" max="1" width="1.140625" customWidth="1"/>
    <col min="2" max="2" width="9.5703125" style="32" bestFit="1" customWidth="1"/>
    <col min="3" max="3" width="48.28515625" style="35" customWidth="1"/>
    <col min="4" max="4" width="22.28515625" customWidth="1"/>
    <col min="5" max="5" width="16" customWidth="1"/>
    <col min="6" max="6" width="11" customWidth="1"/>
    <col min="7" max="7" width="14.7109375" customWidth="1"/>
    <col min="8" max="8" width="11" customWidth="1"/>
    <col min="9" max="9" width="13.28515625" customWidth="1"/>
    <col min="10" max="10" width="10.28515625" style="33" customWidth="1"/>
  </cols>
  <sheetData>
    <row r="1" spans="2:10" ht="7.5" customHeight="1" thickBot="1"/>
    <row r="2" spans="2:10" ht="15" customHeight="1" thickBot="1">
      <c r="B2" s="281" t="s">
        <v>718</v>
      </c>
      <c r="C2" s="282"/>
      <c r="D2" s="282"/>
      <c r="E2" s="283"/>
      <c r="F2" s="82"/>
    </row>
    <row r="3" spans="2:10" ht="32.25" customHeight="1">
      <c r="B3" s="277" t="s">
        <v>688</v>
      </c>
      <c r="C3" s="278"/>
      <c r="D3" s="66" t="s">
        <v>690</v>
      </c>
      <c r="E3" s="67" t="s">
        <v>691</v>
      </c>
    </row>
    <row r="4" spans="2:10" ht="38.25" customHeight="1" thickBot="1">
      <c r="B4" s="279" t="s">
        <v>701</v>
      </c>
      <c r="C4" s="280"/>
      <c r="D4" s="80" t="s">
        <v>700</v>
      </c>
      <c r="E4" s="81" t="s">
        <v>692</v>
      </c>
    </row>
    <row r="5" spans="2:10" ht="13.5" thickBot="1"/>
    <row r="6" spans="2:10" ht="76.5">
      <c r="B6" s="284" t="s">
        <v>689</v>
      </c>
      <c r="C6" s="285"/>
      <c r="D6" s="153" t="s">
        <v>861</v>
      </c>
      <c r="E6" s="67" t="s">
        <v>862</v>
      </c>
      <c r="F6" s="153" t="s">
        <v>860</v>
      </c>
      <c r="G6" s="67" t="s">
        <v>862</v>
      </c>
      <c r="H6" s="67" t="s">
        <v>694</v>
      </c>
    </row>
    <row r="7" spans="2:10" ht="12.75" customHeight="1">
      <c r="B7" s="288" t="s">
        <v>693</v>
      </c>
      <c r="C7" s="289"/>
      <c r="D7" s="154" t="s">
        <v>695</v>
      </c>
      <c r="E7" s="155"/>
      <c r="F7" s="154" t="s">
        <v>695</v>
      </c>
      <c r="G7" s="155"/>
      <c r="H7" s="160" t="s">
        <v>692</v>
      </c>
    </row>
    <row r="8" spans="2:10" ht="12.75" customHeight="1">
      <c r="B8" s="288" t="s">
        <v>696</v>
      </c>
      <c r="C8" s="289"/>
      <c r="D8" s="154" t="s">
        <v>695</v>
      </c>
      <c r="E8" s="155"/>
      <c r="F8" s="154" t="s">
        <v>695</v>
      </c>
      <c r="G8" s="155"/>
      <c r="H8" s="160" t="s">
        <v>692</v>
      </c>
    </row>
    <row r="9" spans="2:10" ht="12.75" customHeight="1">
      <c r="B9" s="288" t="s">
        <v>697</v>
      </c>
      <c r="C9" s="289"/>
      <c r="D9" s="154" t="s">
        <v>695</v>
      </c>
      <c r="E9" s="155"/>
      <c r="F9" s="154" t="s">
        <v>695</v>
      </c>
      <c r="G9" s="155"/>
      <c r="H9" s="160" t="s">
        <v>692</v>
      </c>
    </row>
    <row r="10" spans="2:10" ht="12.75" customHeight="1">
      <c r="B10" s="288" t="s">
        <v>698</v>
      </c>
      <c r="C10" s="289"/>
      <c r="D10" s="154" t="s">
        <v>695</v>
      </c>
      <c r="E10" s="155"/>
      <c r="F10" s="154" t="s">
        <v>695</v>
      </c>
      <c r="G10" s="155"/>
      <c r="H10" s="160" t="s">
        <v>692</v>
      </c>
    </row>
    <row r="11" spans="2:10" ht="13.5" customHeight="1" thickBot="1">
      <c r="B11" s="290" t="s">
        <v>699</v>
      </c>
      <c r="C11" s="291"/>
      <c r="D11" s="156" t="s">
        <v>695</v>
      </c>
      <c r="E11" s="157"/>
      <c r="F11" s="156" t="s">
        <v>695</v>
      </c>
      <c r="G11" s="157"/>
      <c r="H11" s="161" t="s">
        <v>692</v>
      </c>
    </row>
    <row r="13" spans="2:10" ht="14.25" customHeight="1">
      <c r="B13" s="286" t="s">
        <v>704</v>
      </c>
      <c r="C13" s="287"/>
      <c r="D13" s="287"/>
      <c r="E13" s="287"/>
      <c r="F13" s="287"/>
      <c r="G13" s="287"/>
      <c r="H13" s="287"/>
      <c r="I13" s="287"/>
      <c r="J13" s="287"/>
    </row>
    <row r="14" spans="2:10">
      <c r="B14" s="31" t="s">
        <v>257</v>
      </c>
      <c r="C14" s="28" t="s">
        <v>123</v>
      </c>
      <c r="D14" s="28"/>
      <c r="E14" s="28"/>
      <c r="F14" s="28"/>
      <c r="G14" s="28"/>
      <c r="H14" s="28"/>
      <c r="I14" s="28"/>
      <c r="J14" s="28"/>
    </row>
    <row r="15" spans="2:10">
      <c r="B15" s="32" t="s">
        <v>103</v>
      </c>
      <c r="C15" s="35" t="s">
        <v>379</v>
      </c>
    </row>
    <row r="16" spans="2:10">
      <c r="B16" s="32" t="s">
        <v>104</v>
      </c>
      <c r="C16" s="35" t="s">
        <v>380</v>
      </c>
    </row>
    <row r="17" spans="2:6">
      <c r="B17" s="32" t="s">
        <v>105</v>
      </c>
      <c r="C17" s="35" t="s">
        <v>381</v>
      </c>
    </row>
    <row r="18" spans="2:6">
      <c r="B18" s="32" t="s">
        <v>106</v>
      </c>
      <c r="C18" s="35" t="s">
        <v>382</v>
      </c>
    </row>
    <row r="19" spans="2:6">
      <c r="B19" s="32" t="s">
        <v>107</v>
      </c>
      <c r="C19" s="35" t="s">
        <v>383</v>
      </c>
    </row>
    <row r="20" spans="2:6">
      <c r="B20" s="32" t="s">
        <v>108</v>
      </c>
      <c r="C20" s="35" t="s">
        <v>384</v>
      </c>
    </row>
    <row r="21" spans="2:6">
      <c r="B21" s="32" t="s">
        <v>255</v>
      </c>
      <c r="C21" s="35" t="s">
        <v>656</v>
      </c>
    </row>
    <row r="22" spans="2:6" hidden="1">
      <c r="C22" s="199"/>
    </row>
    <row r="23" spans="2:6" hidden="1">
      <c r="C23" s="199"/>
    </row>
    <row r="24" spans="2:6" hidden="1">
      <c r="C24" s="199"/>
    </row>
    <row r="25" spans="2:6" hidden="1">
      <c r="C25" s="199"/>
    </row>
    <row r="26" spans="2:6" hidden="1">
      <c r="C26" s="199"/>
    </row>
    <row r="27" spans="2:6" hidden="1">
      <c r="C27" s="199"/>
    </row>
    <row r="28" spans="2:6" hidden="1">
      <c r="C28" s="199"/>
    </row>
    <row r="29" spans="2:6" hidden="1">
      <c r="C29" s="199"/>
    </row>
    <row r="30" spans="2:6" ht="13.5" thickBot="1">
      <c r="B30" s="225">
        <f>COUNT(B32:B300)</f>
        <v>65</v>
      </c>
    </row>
    <row r="31" spans="2:6" ht="25.5">
      <c r="B31" s="164" t="s">
        <v>97</v>
      </c>
      <c r="C31" s="165" t="s">
        <v>96</v>
      </c>
      <c r="D31" s="105" t="s">
        <v>917</v>
      </c>
      <c r="E31" s="106" t="s">
        <v>98</v>
      </c>
      <c r="F31" s="107" t="s">
        <v>709</v>
      </c>
    </row>
    <row r="32" spans="2:6">
      <c r="B32" s="166" t="s">
        <v>257</v>
      </c>
      <c r="C32" s="167" t="s">
        <v>123</v>
      </c>
      <c r="D32" s="167"/>
      <c r="E32" s="167"/>
      <c r="F32" s="168"/>
    </row>
    <row r="33" spans="2:6" ht="76.5">
      <c r="B33" s="169">
        <v>1</v>
      </c>
      <c r="C33" s="299" t="s">
        <v>385</v>
      </c>
      <c r="D33" s="196" t="s">
        <v>918</v>
      </c>
      <c r="E33" s="170"/>
      <c r="F33" s="163" t="s">
        <v>103</v>
      </c>
    </row>
    <row r="34" spans="2:6" ht="114.75">
      <c r="B34" s="169">
        <v>2</v>
      </c>
      <c r="C34" s="172" t="s">
        <v>386</v>
      </c>
      <c r="D34" s="196" t="s">
        <v>918</v>
      </c>
      <c r="E34" s="170"/>
      <c r="F34" s="163" t="s">
        <v>103</v>
      </c>
    </row>
    <row r="35" spans="2:6" ht="38.25">
      <c r="B35" s="169">
        <v>3</v>
      </c>
      <c r="C35" s="172" t="s">
        <v>343</v>
      </c>
      <c r="D35" s="196" t="s">
        <v>918</v>
      </c>
      <c r="E35" s="170"/>
      <c r="F35" s="163" t="s">
        <v>103</v>
      </c>
    </row>
    <row r="36" spans="2:6" ht="38.25">
      <c r="B36" s="169">
        <v>4</v>
      </c>
      <c r="C36" s="299" t="s">
        <v>344</v>
      </c>
      <c r="D36" s="196" t="s">
        <v>918</v>
      </c>
      <c r="E36" s="170"/>
      <c r="F36" s="163" t="s">
        <v>103</v>
      </c>
    </row>
    <row r="37" spans="2:6" ht="51">
      <c r="B37" s="169">
        <v>5</v>
      </c>
      <c r="C37" s="299" t="s">
        <v>345</v>
      </c>
      <c r="D37" s="196" t="s">
        <v>918</v>
      </c>
      <c r="E37" s="170"/>
      <c r="F37" s="163" t="s">
        <v>103</v>
      </c>
    </row>
    <row r="38" spans="2:6" ht="25.5">
      <c r="B38" s="169">
        <v>6</v>
      </c>
      <c r="C38" s="172" t="s">
        <v>346</v>
      </c>
      <c r="D38" s="196" t="s">
        <v>918</v>
      </c>
      <c r="E38" s="170"/>
      <c r="F38" s="163" t="s">
        <v>103</v>
      </c>
    </row>
    <row r="39" spans="2:6" ht="51">
      <c r="B39" s="169">
        <v>7</v>
      </c>
      <c r="C39" s="299" t="s">
        <v>347</v>
      </c>
      <c r="D39" s="196" t="s">
        <v>918</v>
      </c>
      <c r="E39" s="170"/>
      <c r="F39" s="163" t="s">
        <v>103</v>
      </c>
    </row>
    <row r="40" spans="2:6" ht="25.5">
      <c r="B40" s="169">
        <v>8</v>
      </c>
      <c r="C40" s="172" t="s">
        <v>348</v>
      </c>
      <c r="D40" s="196" t="s">
        <v>918</v>
      </c>
      <c r="E40" s="170"/>
      <c r="F40" s="163" t="s">
        <v>103</v>
      </c>
    </row>
    <row r="41" spans="2:6" ht="63.75">
      <c r="B41" s="169">
        <v>9</v>
      </c>
      <c r="C41" s="171" t="s">
        <v>349</v>
      </c>
      <c r="D41" s="196" t="s">
        <v>918</v>
      </c>
      <c r="E41" s="170"/>
      <c r="F41" s="163" t="s">
        <v>103</v>
      </c>
    </row>
    <row r="42" spans="2:6" ht="63.75">
      <c r="B42" s="169">
        <v>10</v>
      </c>
      <c r="C42" s="172" t="s">
        <v>350</v>
      </c>
      <c r="D42" s="196" t="s">
        <v>918</v>
      </c>
      <c r="E42" s="170"/>
      <c r="F42" s="163" t="s">
        <v>103</v>
      </c>
    </row>
    <row r="43" spans="2:6" ht="38.25">
      <c r="B43" s="169">
        <v>11</v>
      </c>
      <c r="C43" s="300" t="s">
        <v>387</v>
      </c>
      <c r="D43" s="196" t="s">
        <v>918</v>
      </c>
      <c r="E43" s="170"/>
      <c r="F43" s="163" t="s">
        <v>103</v>
      </c>
    </row>
    <row r="44" spans="2:6" ht="76.5">
      <c r="B44" s="169">
        <v>12</v>
      </c>
      <c r="C44" s="301" t="s">
        <v>719</v>
      </c>
      <c r="D44" s="196" t="s">
        <v>918</v>
      </c>
      <c r="E44" s="170"/>
      <c r="F44" s="163" t="s">
        <v>103</v>
      </c>
    </row>
    <row r="45" spans="2:6" ht="38.25">
      <c r="B45" s="169">
        <v>13</v>
      </c>
      <c r="C45" s="299" t="s">
        <v>351</v>
      </c>
      <c r="D45" s="196" t="s">
        <v>918</v>
      </c>
      <c r="E45" s="170"/>
      <c r="F45" s="163" t="s">
        <v>103</v>
      </c>
    </row>
    <row r="46" spans="2:6" ht="51">
      <c r="B46" s="169">
        <v>14</v>
      </c>
      <c r="C46" s="299" t="s">
        <v>352</v>
      </c>
      <c r="D46" s="196" t="s">
        <v>918</v>
      </c>
      <c r="E46" s="170"/>
      <c r="F46" s="163" t="s">
        <v>103</v>
      </c>
    </row>
    <row r="47" spans="2:6" ht="51">
      <c r="B47" s="169">
        <v>15</v>
      </c>
      <c r="C47" s="299" t="s">
        <v>353</v>
      </c>
      <c r="D47" s="196" t="s">
        <v>918</v>
      </c>
      <c r="E47" s="170"/>
      <c r="F47" s="163" t="s">
        <v>103</v>
      </c>
    </row>
    <row r="48" spans="2:6" ht="51">
      <c r="B48" s="169">
        <v>16</v>
      </c>
      <c r="C48" s="171" t="s">
        <v>354</v>
      </c>
      <c r="D48" s="196" t="s">
        <v>918</v>
      </c>
      <c r="E48" s="170"/>
      <c r="F48" s="163" t="s">
        <v>103</v>
      </c>
    </row>
    <row r="49" spans="2:6" ht="25.5">
      <c r="B49" s="169">
        <v>17</v>
      </c>
      <c r="C49" s="172" t="s">
        <v>355</v>
      </c>
      <c r="D49" s="196" t="s">
        <v>918</v>
      </c>
      <c r="E49" s="170"/>
      <c r="F49" s="163" t="s">
        <v>104</v>
      </c>
    </row>
    <row r="50" spans="2:6" ht="38.25">
      <c r="B50" s="169">
        <v>18</v>
      </c>
      <c r="C50" s="171" t="s">
        <v>356</v>
      </c>
      <c r="D50" s="196" t="s">
        <v>918</v>
      </c>
      <c r="E50" s="170"/>
      <c r="F50" s="163" t="s">
        <v>104</v>
      </c>
    </row>
    <row r="51" spans="2:6" ht="25.5">
      <c r="B51" s="169">
        <v>19</v>
      </c>
      <c r="C51" s="172" t="s">
        <v>357</v>
      </c>
      <c r="D51" s="196" t="s">
        <v>918</v>
      </c>
      <c r="E51" s="170"/>
      <c r="F51" s="163" t="s">
        <v>104</v>
      </c>
    </row>
    <row r="52" spans="2:6" ht="38.25">
      <c r="B52" s="169">
        <v>20</v>
      </c>
      <c r="C52" s="172" t="s">
        <v>914</v>
      </c>
      <c r="D52" s="196" t="s">
        <v>918</v>
      </c>
      <c r="E52" s="170"/>
      <c r="F52" s="163" t="s">
        <v>104</v>
      </c>
    </row>
    <row r="53" spans="2:6" ht="38.25">
      <c r="B53" s="169">
        <v>21</v>
      </c>
      <c r="C53" s="172" t="s">
        <v>915</v>
      </c>
      <c r="D53" s="196" t="s">
        <v>918</v>
      </c>
      <c r="E53" s="170"/>
      <c r="F53" s="163"/>
    </row>
    <row r="54" spans="2:6" ht="51">
      <c r="B54" s="169">
        <v>22</v>
      </c>
      <c r="C54" s="172" t="s">
        <v>388</v>
      </c>
      <c r="D54" s="196" t="s">
        <v>918</v>
      </c>
      <c r="E54" s="170"/>
      <c r="F54" s="163" t="s">
        <v>104</v>
      </c>
    </row>
    <row r="55" spans="2:6" ht="51">
      <c r="B55" s="209">
        <v>23</v>
      </c>
      <c r="C55" s="171" t="s">
        <v>358</v>
      </c>
      <c r="D55" s="196" t="s">
        <v>918</v>
      </c>
      <c r="E55" s="170"/>
      <c r="F55" s="163" t="s">
        <v>104</v>
      </c>
    </row>
    <row r="56" spans="2:6" ht="25.5">
      <c r="B56" s="169">
        <v>24</v>
      </c>
      <c r="C56" s="171" t="s">
        <v>359</v>
      </c>
      <c r="D56" s="196" t="s">
        <v>918</v>
      </c>
      <c r="E56" s="170"/>
      <c r="F56" s="163" t="s">
        <v>105</v>
      </c>
    </row>
    <row r="57" spans="2:6" ht="51">
      <c r="B57" s="169">
        <v>25</v>
      </c>
      <c r="C57" s="302" t="s">
        <v>389</v>
      </c>
      <c r="D57" s="196" t="s">
        <v>918</v>
      </c>
      <c r="E57" s="170"/>
      <c r="F57" s="163" t="s">
        <v>105</v>
      </c>
    </row>
    <row r="58" spans="2:6" ht="63.75">
      <c r="B58" s="169">
        <v>26</v>
      </c>
      <c r="C58" s="302" t="s">
        <v>360</v>
      </c>
      <c r="D58" s="196" t="s">
        <v>918</v>
      </c>
      <c r="E58" s="170"/>
      <c r="F58" s="163" t="s">
        <v>105</v>
      </c>
    </row>
    <row r="59" spans="2:6" ht="38.25">
      <c r="B59" s="169">
        <v>27</v>
      </c>
      <c r="C59" s="172" t="s">
        <v>361</v>
      </c>
      <c r="D59" s="196" t="s">
        <v>918</v>
      </c>
      <c r="E59" s="170"/>
      <c r="F59" s="163" t="s">
        <v>105</v>
      </c>
    </row>
    <row r="60" spans="2:6" ht="25.5">
      <c r="B60" s="169">
        <v>28</v>
      </c>
      <c r="C60" s="171" t="s">
        <v>362</v>
      </c>
      <c r="D60" s="196" t="s">
        <v>918</v>
      </c>
      <c r="E60" s="170"/>
      <c r="F60" s="163" t="s">
        <v>105</v>
      </c>
    </row>
    <row r="61" spans="2:6" ht="63.75">
      <c r="B61" s="169">
        <v>29</v>
      </c>
      <c r="C61" s="172" t="s">
        <v>363</v>
      </c>
      <c r="D61" s="196" t="s">
        <v>918</v>
      </c>
      <c r="E61" s="170"/>
      <c r="F61" s="163" t="s">
        <v>105</v>
      </c>
    </row>
    <row r="62" spans="2:6" ht="25.5">
      <c r="B62" s="169">
        <v>30</v>
      </c>
      <c r="C62" s="172" t="s">
        <v>604</v>
      </c>
      <c r="D62" s="196" t="s">
        <v>918</v>
      </c>
      <c r="E62" s="170"/>
      <c r="F62" s="163" t="s">
        <v>105</v>
      </c>
    </row>
    <row r="63" spans="2:6" ht="38.25">
      <c r="B63" s="169">
        <v>31</v>
      </c>
      <c r="C63" s="172" t="s">
        <v>364</v>
      </c>
      <c r="D63" s="196" t="s">
        <v>918</v>
      </c>
      <c r="E63" s="170"/>
      <c r="F63" s="163" t="s">
        <v>105</v>
      </c>
    </row>
    <row r="64" spans="2:6" ht="102">
      <c r="B64" s="169">
        <v>32</v>
      </c>
      <c r="C64" s="172" t="s">
        <v>365</v>
      </c>
      <c r="D64" s="196" t="s">
        <v>918</v>
      </c>
      <c r="E64" s="170"/>
      <c r="F64" s="163" t="s">
        <v>105</v>
      </c>
    </row>
    <row r="65" spans="2:6" ht="51">
      <c r="B65" s="169">
        <v>33</v>
      </c>
      <c r="C65" s="172" t="s">
        <v>366</v>
      </c>
      <c r="D65" s="196" t="s">
        <v>918</v>
      </c>
      <c r="E65" s="170"/>
      <c r="F65" s="163" t="s">
        <v>105</v>
      </c>
    </row>
    <row r="66" spans="2:6" ht="25.5">
      <c r="B66" s="169">
        <v>34</v>
      </c>
      <c r="C66" s="303" t="s">
        <v>367</v>
      </c>
      <c r="D66" s="196" t="s">
        <v>918</v>
      </c>
      <c r="E66" s="170"/>
      <c r="F66" s="163" t="s">
        <v>106</v>
      </c>
    </row>
    <row r="67" spans="2:6" ht="25.5">
      <c r="B67" s="169">
        <v>35</v>
      </c>
      <c r="C67" s="303" t="s">
        <v>503</v>
      </c>
      <c r="D67" s="196" t="s">
        <v>918</v>
      </c>
      <c r="E67" s="170"/>
      <c r="F67" s="163" t="s">
        <v>106</v>
      </c>
    </row>
    <row r="68" spans="2:6" ht="51">
      <c r="B68" s="169">
        <v>36</v>
      </c>
      <c r="C68" s="304" t="s">
        <v>390</v>
      </c>
      <c r="D68" s="196" t="s">
        <v>918</v>
      </c>
      <c r="E68" s="170"/>
      <c r="F68" s="163" t="s">
        <v>106</v>
      </c>
    </row>
    <row r="69" spans="2:6" ht="76.5">
      <c r="B69" s="169">
        <v>37</v>
      </c>
      <c r="C69" s="301" t="s">
        <v>811</v>
      </c>
      <c r="D69" s="196" t="s">
        <v>918</v>
      </c>
      <c r="E69" s="170"/>
      <c r="F69" s="163" t="s">
        <v>107</v>
      </c>
    </row>
    <row r="70" spans="2:6" ht="63.75">
      <c r="B70" s="169">
        <v>38</v>
      </c>
      <c r="C70" s="171" t="s">
        <v>391</v>
      </c>
      <c r="D70" s="196" t="s">
        <v>918</v>
      </c>
      <c r="E70" s="170"/>
      <c r="F70" s="163" t="s">
        <v>107</v>
      </c>
    </row>
    <row r="71" spans="2:6" ht="51">
      <c r="B71" s="169">
        <v>39</v>
      </c>
      <c r="C71" s="171" t="s">
        <v>368</v>
      </c>
      <c r="D71" s="196" t="s">
        <v>918</v>
      </c>
      <c r="E71" s="170"/>
      <c r="F71" s="163" t="s">
        <v>107</v>
      </c>
    </row>
    <row r="72" spans="2:6" ht="38.25">
      <c r="B72" s="169">
        <v>40</v>
      </c>
      <c r="C72" s="171" t="s">
        <v>369</v>
      </c>
      <c r="D72" s="196" t="s">
        <v>918</v>
      </c>
      <c r="E72" s="170"/>
      <c r="F72" s="163" t="s">
        <v>107</v>
      </c>
    </row>
    <row r="73" spans="2:6" ht="38.25">
      <c r="B73" s="169">
        <v>41</v>
      </c>
      <c r="C73" s="172" t="s">
        <v>370</v>
      </c>
      <c r="D73" s="196" t="s">
        <v>918</v>
      </c>
      <c r="E73" s="170"/>
      <c r="F73" s="163" t="s">
        <v>107</v>
      </c>
    </row>
    <row r="74" spans="2:6" ht="25.5">
      <c r="B74" s="169">
        <v>42</v>
      </c>
      <c r="C74" s="172" t="s">
        <v>371</v>
      </c>
      <c r="D74" s="196" t="s">
        <v>918</v>
      </c>
      <c r="E74" s="170"/>
      <c r="F74" s="163" t="s">
        <v>107</v>
      </c>
    </row>
    <row r="75" spans="2:6" ht="51">
      <c r="B75" s="169">
        <v>43</v>
      </c>
      <c r="C75" s="172" t="s">
        <v>372</v>
      </c>
      <c r="D75" s="196" t="s">
        <v>918</v>
      </c>
      <c r="E75" s="170"/>
      <c r="F75" s="163" t="s">
        <v>107</v>
      </c>
    </row>
    <row r="76" spans="2:6" ht="63.75">
      <c r="B76" s="169">
        <v>44</v>
      </c>
      <c r="C76" s="172" t="s">
        <v>373</v>
      </c>
      <c r="D76" s="196" t="s">
        <v>918</v>
      </c>
      <c r="E76" s="170"/>
      <c r="F76" s="163" t="s">
        <v>107</v>
      </c>
    </row>
    <row r="77" spans="2:6" ht="25.5">
      <c r="B77" s="169">
        <v>45</v>
      </c>
      <c r="C77" s="172" t="s">
        <v>374</v>
      </c>
      <c r="D77" s="196" t="s">
        <v>918</v>
      </c>
      <c r="E77" s="170"/>
      <c r="F77" s="163" t="s">
        <v>107</v>
      </c>
    </row>
    <row r="78" spans="2:6" ht="25.5">
      <c r="B78" s="169">
        <v>46</v>
      </c>
      <c r="C78" s="172" t="s">
        <v>375</v>
      </c>
      <c r="D78" s="196" t="s">
        <v>918</v>
      </c>
      <c r="E78" s="170"/>
      <c r="F78" s="163" t="s">
        <v>107</v>
      </c>
    </row>
    <row r="79" spans="2:6" ht="63.75">
      <c r="B79" s="169">
        <v>47</v>
      </c>
      <c r="C79" s="301" t="s">
        <v>916</v>
      </c>
      <c r="D79" s="196" t="s">
        <v>918</v>
      </c>
      <c r="E79" s="170"/>
      <c r="F79" s="163" t="s">
        <v>107</v>
      </c>
    </row>
    <row r="80" spans="2:6" ht="38.25">
      <c r="B80" s="169">
        <v>48</v>
      </c>
      <c r="C80" s="303" t="s">
        <v>376</v>
      </c>
      <c r="D80" s="196" t="s">
        <v>918</v>
      </c>
      <c r="E80" s="170"/>
      <c r="F80" s="163" t="s">
        <v>107</v>
      </c>
    </row>
    <row r="81" spans="2:6" ht="76.5">
      <c r="B81" s="169">
        <v>49</v>
      </c>
      <c r="C81" s="305" t="s">
        <v>377</v>
      </c>
      <c r="D81" s="196" t="s">
        <v>918</v>
      </c>
      <c r="E81" s="170"/>
      <c r="F81" s="163" t="s">
        <v>107</v>
      </c>
    </row>
    <row r="82" spans="2:6" ht="178.5">
      <c r="B82" s="169">
        <v>50</v>
      </c>
      <c r="C82" s="172" t="s">
        <v>482</v>
      </c>
      <c r="D82" s="196" t="s">
        <v>918</v>
      </c>
      <c r="E82" s="170"/>
      <c r="F82" s="163" t="s">
        <v>108</v>
      </c>
    </row>
    <row r="83" spans="2:6" ht="38.25">
      <c r="B83" s="169">
        <v>51</v>
      </c>
      <c r="C83" s="302" t="s">
        <v>393</v>
      </c>
      <c r="D83" s="196" t="s">
        <v>918</v>
      </c>
      <c r="E83" s="170"/>
      <c r="F83" s="163" t="s">
        <v>108</v>
      </c>
    </row>
    <row r="84" spans="2:6" ht="51">
      <c r="B84" s="169">
        <v>52</v>
      </c>
      <c r="C84" s="302" t="s">
        <v>394</v>
      </c>
      <c r="D84" s="196" t="s">
        <v>918</v>
      </c>
      <c r="E84" s="170"/>
      <c r="F84" s="163" t="s">
        <v>108</v>
      </c>
    </row>
    <row r="85" spans="2:6" ht="38.25">
      <c r="B85" s="169">
        <v>53</v>
      </c>
      <c r="C85" s="304" t="s">
        <v>395</v>
      </c>
      <c r="D85" s="196" t="s">
        <v>918</v>
      </c>
      <c r="E85" s="170"/>
      <c r="F85" s="163" t="s">
        <v>108</v>
      </c>
    </row>
    <row r="86" spans="2:6" ht="25.5">
      <c r="B86" s="169">
        <v>54</v>
      </c>
      <c r="C86" s="172" t="s">
        <v>396</v>
      </c>
      <c r="D86" s="196" t="s">
        <v>918</v>
      </c>
      <c r="E86" s="170"/>
      <c r="F86" s="163" t="s">
        <v>108</v>
      </c>
    </row>
    <row r="87" spans="2:6" ht="63.75">
      <c r="B87" s="169">
        <v>55</v>
      </c>
      <c r="C87" s="171" t="s">
        <v>397</v>
      </c>
      <c r="D87" s="196" t="s">
        <v>918</v>
      </c>
      <c r="E87" s="170"/>
      <c r="F87" s="163" t="s">
        <v>108</v>
      </c>
    </row>
    <row r="88" spans="2:6" ht="38.25">
      <c r="B88" s="169">
        <v>56</v>
      </c>
      <c r="C88" s="171" t="s">
        <v>378</v>
      </c>
      <c r="D88" s="196" t="s">
        <v>918</v>
      </c>
      <c r="E88" s="170"/>
      <c r="F88" s="163" t="s">
        <v>108</v>
      </c>
    </row>
    <row r="89" spans="2:6" ht="51">
      <c r="B89" s="169">
        <v>57</v>
      </c>
      <c r="C89" s="171" t="s">
        <v>655</v>
      </c>
      <c r="D89" s="196" t="s">
        <v>918</v>
      </c>
      <c r="E89" s="170"/>
      <c r="F89" s="173" t="s">
        <v>255</v>
      </c>
    </row>
    <row r="90" spans="2:6" ht="38.25">
      <c r="B90" s="169">
        <v>58</v>
      </c>
      <c r="C90" s="171" t="s">
        <v>654</v>
      </c>
      <c r="D90" s="196" t="s">
        <v>918</v>
      </c>
      <c r="E90" s="170"/>
      <c r="F90" s="173" t="s">
        <v>255</v>
      </c>
    </row>
    <row r="91" spans="2:6" ht="63.75">
      <c r="B91" s="169">
        <v>59</v>
      </c>
      <c r="C91" s="171" t="s">
        <v>652</v>
      </c>
      <c r="D91" s="196" t="s">
        <v>918</v>
      </c>
      <c r="E91" s="170"/>
      <c r="F91" s="163" t="s">
        <v>103</v>
      </c>
    </row>
    <row r="92" spans="2:6" ht="127.5">
      <c r="B92" s="169">
        <v>60</v>
      </c>
      <c r="C92" s="171" t="s">
        <v>653</v>
      </c>
      <c r="D92" s="196" t="s">
        <v>918</v>
      </c>
      <c r="E92" s="170"/>
      <c r="F92" s="163" t="s">
        <v>103</v>
      </c>
    </row>
    <row r="93" spans="2:6" ht="51">
      <c r="B93" s="169">
        <v>61</v>
      </c>
      <c r="C93" s="171" t="s">
        <v>650</v>
      </c>
      <c r="D93" s="196" t="s">
        <v>918</v>
      </c>
      <c r="E93" s="170"/>
      <c r="F93" s="163" t="s">
        <v>103</v>
      </c>
    </row>
    <row r="94" spans="2:6" ht="51">
      <c r="B94" s="169">
        <v>62</v>
      </c>
      <c r="C94" s="301" t="s">
        <v>889</v>
      </c>
      <c r="D94" s="196" t="s">
        <v>918</v>
      </c>
      <c r="E94" s="170"/>
      <c r="F94" s="163" t="s">
        <v>108</v>
      </c>
    </row>
    <row r="95" spans="2:6" ht="38.25">
      <c r="B95" s="169">
        <v>63</v>
      </c>
      <c r="C95" s="301" t="s">
        <v>894</v>
      </c>
      <c r="D95" s="196" t="s">
        <v>918</v>
      </c>
      <c r="E95" s="170"/>
      <c r="F95" s="163" t="s">
        <v>255</v>
      </c>
    </row>
    <row r="96" spans="2:6" ht="38.25">
      <c r="B96" s="169">
        <v>64</v>
      </c>
      <c r="C96" s="301" t="s">
        <v>840</v>
      </c>
      <c r="D96" s="196" t="s">
        <v>918</v>
      </c>
      <c r="E96" s="170"/>
      <c r="F96" s="163" t="s">
        <v>106</v>
      </c>
    </row>
    <row r="97" spans="2:10" ht="89.25">
      <c r="B97" s="169">
        <v>65</v>
      </c>
      <c r="C97" s="301" t="s">
        <v>842</v>
      </c>
      <c r="D97" s="196" t="s">
        <v>918</v>
      </c>
      <c r="E97" s="170"/>
      <c r="F97" s="163" t="s">
        <v>106</v>
      </c>
    </row>
    <row r="98" spans="2:10" ht="13.5" thickBot="1">
      <c r="B98" s="174"/>
      <c r="C98" s="175"/>
      <c r="D98" s="176"/>
      <c r="E98" s="176"/>
      <c r="F98" s="177"/>
    </row>
    <row r="102" spans="2:10" ht="14.25" customHeight="1">
      <c r="B102" s="286" t="s">
        <v>706</v>
      </c>
      <c r="C102" s="287"/>
      <c r="D102" s="287"/>
      <c r="E102" s="287"/>
      <c r="F102" s="287"/>
      <c r="G102" s="287"/>
      <c r="H102" s="287"/>
      <c r="I102" s="287"/>
      <c r="J102" s="287"/>
    </row>
    <row r="103" spans="2:10" ht="51">
      <c r="B103" s="28"/>
      <c r="C103" s="28" t="s">
        <v>678</v>
      </c>
      <c r="D103" s="28"/>
      <c r="E103" s="28"/>
      <c r="F103" s="28"/>
      <c r="G103" s="28"/>
      <c r="H103" s="28"/>
      <c r="I103" s="28"/>
      <c r="J103" s="28"/>
    </row>
    <row r="104" spans="2:10">
      <c r="C104" s="35" t="s">
        <v>679</v>
      </c>
    </row>
  </sheetData>
  <mergeCells count="11">
    <mergeCell ref="B3:C3"/>
    <mergeCell ref="B4:C4"/>
    <mergeCell ref="B2:E2"/>
    <mergeCell ref="B6:C6"/>
    <mergeCell ref="B102:J102"/>
    <mergeCell ref="B7:C7"/>
    <mergeCell ref="B8:C8"/>
    <mergeCell ref="B9:C9"/>
    <mergeCell ref="B10:C10"/>
    <mergeCell ref="B11:C11"/>
    <mergeCell ref="B13:J13"/>
  </mergeCells>
  <dataValidations count="1">
    <dataValidation type="list" showInputMessage="1" showErrorMessage="1" sqref="D33:D97">
      <formula1>"TODO NATIVO, NATIVO Y DESARROLLO, DESARROLLO TOTAL"</formula1>
    </dataValidation>
  </dataValidations>
  <pageMargins left="0.7" right="0.7" top="0.75" bottom="0.75" header="0.3" footer="0.3"/>
  <pageSetup orientation="portrait" r:id="rId1"/>
  <customProperties>
    <customPr name="DVSECTIONID" r:id="rId2"/>
  </customProperties>
</worksheet>
</file>

<file path=xl/worksheets/sheet5.xml><?xml version="1.0" encoding="utf-8"?>
<worksheet xmlns="http://schemas.openxmlformats.org/spreadsheetml/2006/main" xmlns:r="http://schemas.openxmlformats.org/officeDocument/2006/relationships">
  <sheetPr>
    <tabColor rgb="FF00B050"/>
  </sheetPr>
  <dimension ref="B1:J86"/>
  <sheetViews>
    <sheetView topLeftCell="A8" zoomScale="70" zoomScaleNormal="70" workbookViewId="0">
      <selection activeCell="C33" sqref="C33:C79"/>
    </sheetView>
  </sheetViews>
  <sheetFormatPr defaultColWidth="9.140625" defaultRowHeight="12.75"/>
  <cols>
    <col min="1" max="1" width="2" customWidth="1"/>
    <col min="2" max="2" width="9.140625" style="32"/>
    <col min="3" max="3" width="50.7109375" customWidth="1"/>
    <col min="4" max="4" width="22.7109375" customWidth="1"/>
    <col min="5" max="5" width="17.5703125" customWidth="1"/>
    <col min="6" max="6" width="14.5703125" customWidth="1"/>
    <col min="7" max="8" width="13.85546875" customWidth="1"/>
    <col min="9" max="9" width="17.140625" customWidth="1"/>
    <col min="10" max="10" width="10" style="33" customWidth="1"/>
  </cols>
  <sheetData>
    <row r="1" spans="2:10" ht="12.75" customHeight="1" thickBot="1">
      <c r="C1" s="35"/>
    </row>
    <row r="2" spans="2:10" ht="15" customHeight="1" thickBot="1">
      <c r="B2" s="281" t="s">
        <v>718</v>
      </c>
      <c r="C2" s="282"/>
      <c r="D2" s="282"/>
      <c r="E2" s="283"/>
      <c r="F2" s="82"/>
    </row>
    <row r="3" spans="2:10" ht="32.25" customHeight="1">
      <c r="B3" s="277" t="s">
        <v>688</v>
      </c>
      <c r="C3" s="278"/>
      <c r="D3" s="66" t="s">
        <v>690</v>
      </c>
      <c r="E3" s="67" t="s">
        <v>691</v>
      </c>
    </row>
    <row r="4" spans="2:10" ht="38.25" customHeight="1" thickBot="1">
      <c r="B4" s="279" t="s">
        <v>701</v>
      </c>
      <c r="C4" s="280"/>
      <c r="D4" s="80" t="s">
        <v>700</v>
      </c>
      <c r="E4" s="81" t="s">
        <v>692</v>
      </c>
    </row>
    <row r="5" spans="2:10" ht="13.5" thickBot="1">
      <c r="C5" s="35"/>
    </row>
    <row r="6" spans="2:10" ht="25.5" customHeight="1">
      <c r="B6" s="284" t="s">
        <v>689</v>
      </c>
      <c r="C6" s="285"/>
      <c r="D6" s="153" t="s">
        <v>861</v>
      </c>
      <c r="E6" s="67" t="s">
        <v>862</v>
      </c>
      <c r="F6" s="153" t="s">
        <v>860</v>
      </c>
      <c r="G6" s="67" t="s">
        <v>862</v>
      </c>
      <c r="H6" s="67" t="s">
        <v>694</v>
      </c>
    </row>
    <row r="7" spans="2:10" ht="12.75" customHeight="1">
      <c r="B7" s="288" t="s">
        <v>693</v>
      </c>
      <c r="C7" s="289"/>
      <c r="D7" s="154" t="s">
        <v>695</v>
      </c>
      <c r="E7" s="155"/>
      <c r="F7" s="154" t="s">
        <v>695</v>
      </c>
      <c r="G7" s="155"/>
      <c r="H7" s="160" t="s">
        <v>692</v>
      </c>
    </row>
    <row r="8" spans="2:10" ht="12.75" customHeight="1">
      <c r="B8" s="288" t="s">
        <v>696</v>
      </c>
      <c r="C8" s="289"/>
      <c r="D8" s="154" t="s">
        <v>695</v>
      </c>
      <c r="E8" s="155"/>
      <c r="F8" s="154" t="s">
        <v>695</v>
      </c>
      <c r="G8" s="155"/>
      <c r="H8" s="160" t="s">
        <v>692</v>
      </c>
    </row>
    <row r="9" spans="2:10" ht="12.75" customHeight="1">
      <c r="B9" s="288" t="s">
        <v>697</v>
      </c>
      <c r="C9" s="289"/>
      <c r="D9" s="154" t="s">
        <v>695</v>
      </c>
      <c r="E9" s="155"/>
      <c r="F9" s="154" t="s">
        <v>695</v>
      </c>
      <c r="G9" s="155"/>
      <c r="H9" s="160" t="s">
        <v>692</v>
      </c>
    </row>
    <row r="10" spans="2:10" ht="12.75" customHeight="1">
      <c r="B10" s="288" t="s">
        <v>698</v>
      </c>
      <c r="C10" s="289"/>
      <c r="D10" s="154" t="s">
        <v>695</v>
      </c>
      <c r="E10" s="155"/>
      <c r="F10" s="154" t="s">
        <v>695</v>
      </c>
      <c r="G10" s="155"/>
      <c r="H10" s="160" t="s">
        <v>692</v>
      </c>
    </row>
    <row r="11" spans="2:10" ht="13.5" customHeight="1" thickBot="1">
      <c r="B11" s="290" t="s">
        <v>699</v>
      </c>
      <c r="C11" s="291"/>
      <c r="D11" s="156" t="s">
        <v>695</v>
      </c>
      <c r="E11" s="157"/>
      <c r="F11" s="156" t="s">
        <v>695</v>
      </c>
      <c r="G11" s="157"/>
      <c r="H11" s="161" t="s">
        <v>692</v>
      </c>
    </row>
    <row r="12" spans="2:10">
      <c r="C12" s="35"/>
    </row>
    <row r="13" spans="2:10" ht="14.25" customHeight="1">
      <c r="B13" s="286" t="s">
        <v>704</v>
      </c>
      <c r="C13" s="287"/>
      <c r="D13" s="287"/>
      <c r="E13" s="287"/>
      <c r="F13" s="287"/>
      <c r="G13" s="287"/>
      <c r="H13" s="287"/>
      <c r="I13" s="287"/>
      <c r="J13" s="287"/>
    </row>
    <row r="14" spans="2:10">
      <c r="B14" s="31" t="s">
        <v>257</v>
      </c>
      <c r="C14" s="28" t="s">
        <v>92</v>
      </c>
    </row>
    <row r="15" spans="2:10">
      <c r="B15" s="32" t="s">
        <v>103</v>
      </c>
      <c r="C15" t="s">
        <v>249</v>
      </c>
    </row>
    <row r="16" spans="2:10">
      <c r="B16" s="32" t="s">
        <v>104</v>
      </c>
      <c r="C16" t="s">
        <v>297</v>
      </c>
    </row>
    <row r="17" spans="2:6">
      <c r="B17" s="32" t="s">
        <v>105</v>
      </c>
      <c r="C17" t="s">
        <v>298</v>
      </c>
    </row>
    <row r="18" spans="2:6">
      <c r="B18" s="32" t="s">
        <v>106</v>
      </c>
      <c r="C18" t="s">
        <v>299</v>
      </c>
    </row>
    <row r="19" spans="2:6">
      <c r="B19" s="32" t="s">
        <v>107</v>
      </c>
      <c r="C19" t="s">
        <v>300</v>
      </c>
    </row>
    <row r="20" spans="2:6">
      <c r="B20" s="32" t="s">
        <v>108</v>
      </c>
      <c r="C20" t="s">
        <v>301</v>
      </c>
    </row>
    <row r="21" spans="2:6">
      <c r="B21" s="32" t="s">
        <v>255</v>
      </c>
      <c r="C21" t="s">
        <v>303</v>
      </c>
    </row>
    <row r="22" spans="2:6">
      <c r="B22" s="32" t="s">
        <v>302</v>
      </c>
      <c r="C22" t="s">
        <v>304</v>
      </c>
    </row>
    <row r="23" spans="2:6" hidden="1"/>
    <row r="24" spans="2:6" hidden="1"/>
    <row r="25" spans="2:6" hidden="1"/>
    <row r="26" spans="2:6" hidden="1"/>
    <row r="27" spans="2:6" hidden="1"/>
    <row r="28" spans="2:6" hidden="1"/>
    <row r="29" spans="2:6" hidden="1"/>
    <row r="30" spans="2:6" ht="13.5" thickBot="1">
      <c r="B30" s="224">
        <f>COUNT(B32:B300)</f>
        <v>47</v>
      </c>
    </row>
    <row r="31" spans="2:6" ht="38.25" customHeight="1">
      <c r="B31" s="164" t="s">
        <v>97</v>
      </c>
      <c r="C31" s="165" t="s">
        <v>96</v>
      </c>
      <c r="D31" s="105" t="s">
        <v>917</v>
      </c>
      <c r="E31" s="106" t="s">
        <v>98</v>
      </c>
      <c r="F31" s="107" t="s">
        <v>709</v>
      </c>
    </row>
    <row r="32" spans="2:6">
      <c r="B32" s="166" t="s">
        <v>257</v>
      </c>
      <c r="C32" s="167" t="s">
        <v>92</v>
      </c>
      <c r="D32" s="167"/>
      <c r="E32" s="167"/>
      <c r="F32" s="168"/>
    </row>
    <row r="33" spans="2:6" ht="165.75">
      <c r="B33" s="169">
        <v>1</v>
      </c>
      <c r="C33" s="171" t="s">
        <v>488</v>
      </c>
      <c r="D33" s="196" t="s">
        <v>918</v>
      </c>
      <c r="E33" s="170"/>
      <c r="F33" s="163" t="s">
        <v>103</v>
      </c>
    </row>
    <row r="34" spans="2:6" ht="38.25">
      <c r="B34" s="169">
        <f t="shared" ref="B34:B44" si="0">B33+1</f>
        <v>2</v>
      </c>
      <c r="C34" s="171" t="s">
        <v>267</v>
      </c>
      <c r="D34" s="196" t="s">
        <v>918</v>
      </c>
      <c r="E34" s="170"/>
      <c r="F34" s="163" t="s">
        <v>103</v>
      </c>
    </row>
    <row r="35" spans="2:6" ht="38.25">
      <c r="B35" s="169">
        <f t="shared" si="0"/>
        <v>3</v>
      </c>
      <c r="C35" s="171" t="s">
        <v>268</v>
      </c>
      <c r="D35" s="196" t="s">
        <v>918</v>
      </c>
      <c r="E35" s="170"/>
      <c r="F35" s="163" t="s">
        <v>103</v>
      </c>
    </row>
    <row r="36" spans="2:6" ht="25.5">
      <c r="B36" s="169">
        <f t="shared" si="0"/>
        <v>4</v>
      </c>
      <c r="C36" s="171" t="s">
        <v>269</v>
      </c>
      <c r="D36" s="196" t="s">
        <v>918</v>
      </c>
      <c r="E36" s="170"/>
      <c r="F36" s="163" t="s">
        <v>103</v>
      </c>
    </row>
    <row r="37" spans="2:6" ht="25.5">
      <c r="B37" s="169">
        <f t="shared" si="0"/>
        <v>5</v>
      </c>
      <c r="C37" s="171" t="s">
        <v>270</v>
      </c>
      <c r="D37" s="196" t="s">
        <v>918</v>
      </c>
      <c r="E37" s="170"/>
      <c r="F37" s="163" t="s">
        <v>103</v>
      </c>
    </row>
    <row r="38" spans="2:6" ht="25.5">
      <c r="B38" s="169">
        <f>B37+1</f>
        <v>6</v>
      </c>
      <c r="C38" s="171" t="s">
        <v>271</v>
      </c>
      <c r="D38" s="196" t="s">
        <v>918</v>
      </c>
      <c r="E38" s="170"/>
      <c r="F38" s="163" t="s">
        <v>103</v>
      </c>
    </row>
    <row r="39" spans="2:6" ht="25.5">
      <c r="B39" s="169">
        <f t="shared" si="0"/>
        <v>7</v>
      </c>
      <c r="C39" s="171" t="s">
        <v>272</v>
      </c>
      <c r="D39" s="196" t="s">
        <v>918</v>
      </c>
      <c r="E39" s="170"/>
      <c r="F39" s="163" t="s">
        <v>103</v>
      </c>
    </row>
    <row r="40" spans="2:6" ht="25.5">
      <c r="B40" s="169">
        <f t="shared" si="0"/>
        <v>8</v>
      </c>
      <c r="C40" s="301" t="s">
        <v>913</v>
      </c>
      <c r="D40" s="196" t="s">
        <v>918</v>
      </c>
      <c r="E40" s="170"/>
      <c r="F40" s="163" t="s">
        <v>103</v>
      </c>
    </row>
    <row r="41" spans="2:6" ht="63.75">
      <c r="B41" s="169">
        <f t="shared" si="0"/>
        <v>9</v>
      </c>
      <c r="C41" s="171" t="s">
        <v>499</v>
      </c>
      <c r="D41" s="196" t="s">
        <v>918</v>
      </c>
      <c r="E41" s="170"/>
      <c r="F41" s="163" t="s">
        <v>103</v>
      </c>
    </row>
    <row r="42" spans="2:6" ht="63.75">
      <c r="B42" s="169">
        <f t="shared" si="0"/>
        <v>10</v>
      </c>
      <c r="C42" s="171" t="s">
        <v>499</v>
      </c>
      <c r="D42" s="196" t="s">
        <v>918</v>
      </c>
      <c r="E42" s="170"/>
      <c r="F42" s="163" t="s">
        <v>103</v>
      </c>
    </row>
    <row r="43" spans="2:6" ht="38.25">
      <c r="B43" s="169">
        <f t="shared" si="0"/>
        <v>11</v>
      </c>
      <c r="C43" s="171" t="s">
        <v>273</v>
      </c>
      <c r="D43" s="196" t="s">
        <v>918</v>
      </c>
      <c r="E43" s="170"/>
      <c r="F43" s="163" t="s">
        <v>103</v>
      </c>
    </row>
    <row r="44" spans="2:6" ht="38.25">
      <c r="B44" s="169">
        <f t="shared" si="0"/>
        <v>12</v>
      </c>
      <c r="C44" s="171" t="s">
        <v>500</v>
      </c>
      <c r="D44" s="196" t="s">
        <v>918</v>
      </c>
      <c r="E44" s="170"/>
      <c r="F44" s="163" t="s">
        <v>103</v>
      </c>
    </row>
    <row r="45" spans="2:6" ht="51">
      <c r="B45" s="169">
        <f>B44+1</f>
        <v>13</v>
      </c>
      <c r="C45" s="171" t="s">
        <v>274</v>
      </c>
      <c r="D45" s="196" t="s">
        <v>918</v>
      </c>
      <c r="E45" s="170"/>
      <c r="F45" s="163" t="s">
        <v>103</v>
      </c>
    </row>
    <row r="46" spans="2:6" ht="63.75">
      <c r="B46" s="169">
        <f t="shared" ref="B46:B66" si="1">B45+1</f>
        <v>14</v>
      </c>
      <c r="C46" s="171" t="s">
        <v>275</v>
      </c>
      <c r="D46" s="196" t="s">
        <v>918</v>
      </c>
      <c r="E46" s="170"/>
      <c r="F46" s="163" t="s">
        <v>104</v>
      </c>
    </row>
    <row r="47" spans="2:6" ht="51">
      <c r="B47" s="169">
        <f t="shared" si="1"/>
        <v>15</v>
      </c>
      <c r="C47" s="301" t="s">
        <v>722</v>
      </c>
      <c r="D47" s="196" t="s">
        <v>918</v>
      </c>
      <c r="E47" s="170"/>
      <c r="F47" s="163" t="s">
        <v>104</v>
      </c>
    </row>
    <row r="48" spans="2:6" ht="25.5">
      <c r="B48" s="169">
        <f t="shared" si="1"/>
        <v>16</v>
      </c>
      <c r="C48" s="171" t="s">
        <v>276</v>
      </c>
      <c r="D48" s="196" t="s">
        <v>918</v>
      </c>
      <c r="E48" s="170"/>
      <c r="F48" s="163" t="s">
        <v>104</v>
      </c>
    </row>
    <row r="49" spans="2:6" ht="25.5">
      <c r="B49" s="169">
        <f t="shared" si="1"/>
        <v>17</v>
      </c>
      <c r="C49" s="171" t="s">
        <v>277</v>
      </c>
      <c r="D49" s="196" t="s">
        <v>918</v>
      </c>
      <c r="E49" s="170"/>
      <c r="F49" s="163" t="s">
        <v>104</v>
      </c>
    </row>
    <row r="50" spans="2:6" ht="38.25">
      <c r="B50" s="169">
        <f>B49+1</f>
        <v>18</v>
      </c>
      <c r="C50" s="171" t="s">
        <v>278</v>
      </c>
      <c r="D50" s="196" t="s">
        <v>918</v>
      </c>
      <c r="E50" s="170"/>
      <c r="F50" s="163" t="s">
        <v>104</v>
      </c>
    </row>
    <row r="51" spans="2:6" ht="25.5">
      <c r="B51" s="169">
        <f t="shared" si="1"/>
        <v>19</v>
      </c>
      <c r="C51" s="171" t="s">
        <v>279</v>
      </c>
      <c r="D51" s="196" t="s">
        <v>918</v>
      </c>
      <c r="E51" s="170"/>
      <c r="F51" s="163" t="s">
        <v>105</v>
      </c>
    </row>
    <row r="52" spans="2:6" ht="25.5">
      <c r="B52" s="169">
        <f t="shared" si="1"/>
        <v>20</v>
      </c>
      <c r="C52" s="171" t="s">
        <v>280</v>
      </c>
      <c r="D52" s="196" t="s">
        <v>918</v>
      </c>
      <c r="E52" s="170"/>
      <c r="F52" s="163" t="s">
        <v>105</v>
      </c>
    </row>
    <row r="53" spans="2:6" ht="38.25">
      <c r="B53" s="169">
        <f t="shared" si="1"/>
        <v>21</v>
      </c>
      <c r="C53" s="301" t="s">
        <v>911</v>
      </c>
      <c r="D53" s="196" t="s">
        <v>918</v>
      </c>
      <c r="E53" s="170"/>
      <c r="F53" s="163" t="s">
        <v>106</v>
      </c>
    </row>
    <row r="54" spans="2:6" ht="25.5">
      <c r="B54" s="169">
        <f t="shared" si="1"/>
        <v>22</v>
      </c>
      <c r="C54" s="171" t="s">
        <v>281</v>
      </c>
      <c r="D54" s="196" t="s">
        <v>918</v>
      </c>
      <c r="E54" s="170"/>
      <c r="F54" s="163" t="s">
        <v>106</v>
      </c>
    </row>
    <row r="55" spans="2:6" ht="38.25">
      <c r="B55" s="169">
        <f>B54+1</f>
        <v>23</v>
      </c>
      <c r="C55" s="171" t="s">
        <v>282</v>
      </c>
      <c r="D55" s="196" t="s">
        <v>918</v>
      </c>
      <c r="E55" s="170"/>
      <c r="F55" s="163" t="s">
        <v>106</v>
      </c>
    </row>
    <row r="56" spans="2:6" ht="25.5">
      <c r="B56" s="169">
        <f t="shared" si="1"/>
        <v>24</v>
      </c>
      <c r="C56" s="171" t="s">
        <v>283</v>
      </c>
      <c r="D56" s="196" t="s">
        <v>918</v>
      </c>
      <c r="E56" s="170"/>
      <c r="F56" s="163" t="s">
        <v>107</v>
      </c>
    </row>
    <row r="57" spans="2:6">
      <c r="B57" s="169">
        <f t="shared" si="1"/>
        <v>25</v>
      </c>
      <c r="C57" s="171" t="s">
        <v>284</v>
      </c>
      <c r="D57" s="196" t="s">
        <v>918</v>
      </c>
      <c r="E57" s="170"/>
      <c r="F57" s="163" t="s">
        <v>107</v>
      </c>
    </row>
    <row r="58" spans="2:6">
      <c r="B58" s="169">
        <f t="shared" si="1"/>
        <v>26</v>
      </c>
      <c r="C58" s="171" t="s">
        <v>285</v>
      </c>
      <c r="D58" s="196" t="s">
        <v>918</v>
      </c>
      <c r="E58" s="170"/>
      <c r="F58" s="163" t="s">
        <v>107</v>
      </c>
    </row>
    <row r="59" spans="2:6">
      <c r="B59" s="169">
        <f t="shared" si="1"/>
        <v>27</v>
      </c>
      <c r="C59" s="171" t="s">
        <v>286</v>
      </c>
      <c r="D59" s="196" t="s">
        <v>918</v>
      </c>
      <c r="E59" s="170"/>
      <c r="F59" s="163" t="s">
        <v>107</v>
      </c>
    </row>
    <row r="60" spans="2:6" ht="25.5">
      <c r="B60" s="169">
        <f t="shared" si="1"/>
        <v>28</v>
      </c>
      <c r="C60" s="171" t="s">
        <v>287</v>
      </c>
      <c r="D60" s="196" t="s">
        <v>918</v>
      </c>
      <c r="E60" s="170"/>
      <c r="F60" s="163" t="s">
        <v>108</v>
      </c>
    </row>
    <row r="61" spans="2:6" ht="38.25">
      <c r="B61" s="169">
        <f t="shared" si="1"/>
        <v>29</v>
      </c>
      <c r="C61" s="301" t="s">
        <v>723</v>
      </c>
      <c r="D61" s="196" t="s">
        <v>918</v>
      </c>
      <c r="E61" s="170"/>
      <c r="F61" s="163" t="s">
        <v>108</v>
      </c>
    </row>
    <row r="62" spans="2:6" ht="38.25">
      <c r="B62" s="169">
        <f t="shared" si="1"/>
        <v>30</v>
      </c>
      <c r="C62" s="301" t="s">
        <v>724</v>
      </c>
      <c r="D62" s="196" t="s">
        <v>918</v>
      </c>
      <c r="E62" s="170"/>
      <c r="F62" s="163" t="s">
        <v>108</v>
      </c>
    </row>
    <row r="63" spans="2:6" ht="25.5">
      <c r="B63" s="169">
        <f t="shared" si="1"/>
        <v>31</v>
      </c>
      <c r="C63" s="171" t="s">
        <v>288</v>
      </c>
      <c r="D63" s="196" t="s">
        <v>918</v>
      </c>
      <c r="E63" s="170"/>
      <c r="F63" s="163" t="s">
        <v>108</v>
      </c>
    </row>
    <row r="64" spans="2:6" ht="38.25">
      <c r="B64" s="169">
        <f t="shared" si="1"/>
        <v>32</v>
      </c>
      <c r="C64" s="171" t="s">
        <v>101</v>
      </c>
      <c r="D64" s="196" t="s">
        <v>918</v>
      </c>
      <c r="E64" s="170"/>
      <c r="F64" s="163" t="s">
        <v>108</v>
      </c>
    </row>
    <row r="65" spans="2:6" ht="76.5">
      <c r="B65" s="169">
        <f>B64+1</f>
        <v>33</v>
      </c>
      <c r="C65" s="171" t="s">
        <v>492</v>
      </c>
      <c r="D65" s="196" t="s">
        <v>918</v>
      </c>
      <c r="E65" s="170"/>
      <c r="F65" s="163" t="s">
        <v>108</v>
      </c>
    </row>
    <row r="66" spans="2:6" ht="25.5">
      <c r="B66" s="169">
        <f t="shared" si="1"/>
        <v>34</v>
      </c>
      <c r="C66" s="171" t="s">
        <v>289</v>
      </c>
      <c r="D66" s="196" t="s">
        <v>918</v>
      </c>
      <c r="E66" s="170"/>
      <c r="F66" s="163" t="s">
        <v>255</v>
      </c>
    </row>
    <row r="67" spans="2:6" ht="25.5">
      <c r="B67" s="169">
        <f>B66+1</f>
        <v>35</v>
      </c>
      <c r="C67" s="171" t="s">
        <v>290</v>
      </c>
      <c r="D67" s="196" t="s">
        <v>918</v>
      </c>
      <c r="E67" s="170"/>
      <c r="F67" s="163" t="s">
        <v>255</v>
      </c>
    </row>
    <row r="68" spans="2:6" ht="25.5">
      <c r="B68" s="169">
        <f t="shared" ref="B68:B79" si="2">B67+1</f>
        <v>36</v>
      </c>
      <c r="C68" s="171" t="s">
        <v>291</v>
      </c>
      <c r="D68" s="196" t="s">
        <v>918</v>
      </c>
      <c r="E68" s="170"/>
      <c r="F68" s="163" t="s">
        <v>255</v>
      </c>
    </row>
    <row r="69" spans="2:6" ht="25.5">
      <c r="B69" s="169">
        <f t="shared" si="2"/>
        <v>37</v>
      </c>
      <c r="C69" s="171" t="s">
        <v>292</v>
      </c>
      <c r="D69" s="196" t="s">
        <v>918</v>
      </c>
      <c r="E69" s="170"/>
      <c r="F69" s="163" t="s">
        <v>255</v>
      </c>
    </row>
    <row r="70" spans="2:6" ht="38.25">
      <c r="B70" s="169">
        <f t="shared" si="2"/>
        <v>38</v>
      </c>
      <c r="C70" s="301" t="s">
        <v>876</v>
      </c>
      <c r="D70" s="196" t="s">
        <v>918</v>
      </c>
      <c r="E70" s="170"/>
      <c r="F70" s="163" t="s">
        <v>255</v>
      </c>
    </row>
    <row r="71" spans="2:6" ht="63.75">
      <c r="B71" s="169">
        <f t="shared" si="2"/>
        <v>39</v>
      </c>
      <c r="C71" s="301" t="s">
        <v>877</v>
      </c>
      <c r="D71" s="196" t="s">
        <v>918</v>
      </c>
      <c r="E71" s="170"/>
      <c r="F71" s="163" t="s">
        <v>255</v>
      </c>
    </row>
    <row r="72" spans="2:6" ht="38.25">
      <c r="B72" s="169">
        <f t="shared" si="2"/>
        <v>40</v>
      </c>
      <c r="C72" s="171" t="s">
        <v>100</v>
      </c>
      <c r="D72" s="196" t="s">
        <v>918</v>
      </c>
      <c r="E72" s="170"/>
      <c r="F72" s="163" t="s">
        <v>255</v>
      </c>
    </row>
    <row r="73" spans="2:6" ht="51">
      <c r="B73" s="169">
        <f t="shared" si="2"/>
        <v>41</v>
      </c>
      <c r="C73" s="171" t="s">
        <v>293</v>
      </c>
      <c r="D73" s="196" t="s">
        <v>918</v>
      </c>
      <c r="E73" s="170"/>
      <c r="F73" s="163" t="s">
        <v>302</v>
      </c>
    </row>
    <row r="74" spans="2:6" ht="25.5">
      <c r="B74" s="169">
        <f t="shared" si="2"/>
        <v>42</v>
      </c>
      <c r="C74" s="171" t="s">
        <v>294</v>
      </c>
      <c r="D74" s="196" t="s">
        <v>918</v>
      </c>
      <c r="E74" s="170"/>
      <c r="F74" s="163" t="s">
        <v>302</v>
      </c>
    </row>
    <row r="75" spans="2:6" ht="38.25">
      <c r="B75" s="169">
        <f t="shared" si="2"/>
        <v>43</v>
      </c>
      <c r="C75" s="171" t="s">
        <v>505</v>
      </c>
      <c r="D75" s="196" t="s">
        <v>918</v>
      </c>
      <c r="E75" s="170"/>
      <c r="F75" s="163" t="s">
        <v>302</v>
      </c>
    </row>
    <row r="76" spans="2:6" ht="76.5">
      <c r="B76" s="169">
        <f t="shared" si="2"/>
        <v>44</v>
      </c>
      <c r="C76" s="171" t="s">
        <v>607</v>
      </c>
      <c r="D76" s="196" t="s">
        <v>918</v>
      </c>
      <c r="E76" s="170"/>
      <c r="F76" s="163" t="s">
        <v>103</v>
      </c>
    </row>
    <row r="77" spans="2:6" ht="63.75">
      <c r="B77" s="169">
        <f t="shared" si="2"/>
        <v>45</v>
      </c>
      <c r="C77" s="171" t="s">
        <v>670</v>
      </c>
      <c r="D77" s="196" t="s">
        <v>918</v>
      </c>
      <c r="E77" s="170"/>
      <c r="F77" s="163" t="s">
        <v>106</v>
      </c>
    </row>
    <row r="78" spans="2:6" ht="38.25">
      <c r="B78" s="169">
        <f t="shared" si="2"/>
        <v>46</v>
      </c>
      <c r="C78" s="171" t="s">
        <v>494</v>
      </c>
      <c r="D78" s="196" t="s">
        <v>918</v>
      </c>
      <c r="E78" s="170"/>
      <c r="F78" s="163" t="s">
        <v>107</v>
      </c>
    </row>
    <row r="79" spans="2:6" ht="25.5">
      <c r="B79" s="169">
        <f t="shared" si="2"/>
        <v>47</v>
      </c>
      <c r="C79" s="301" t="s">
        <v>840</v>
      </c>
      <c r="D79" s="196" t="s">
        <v>918</v>
      </c>
      <c r="E79" s="170"/>
      <c r="F79" s="163" t="s">
        <v>103</v>
      </c>
    </row>
    <row r="80" spans="2:6" ht="13.5" thickBot="1">
      <c r="B80" s="174"/>
      <c r="C80" s="175"/>
      <c r="D80" s="176"/>
      <c r="E80" s="176"/>
      <c r="F80" s="177"/>
    </row>
    <row r="81" spans="2:10">
      <c r="C81" s="35"/>
    </row>
    <row r="82" spans="2:10">
      <c r="C82" s="35"/>
    </row>
    <row r="83" spans="2:10">
      <c r="C83" s="35"/>
    </row>
    <row r="84" spans="2:10" ht="14.25">
      <c r="B84" s="286" t="s">
        <v>706</v>
      </c>
      <c r="C84" s="287"/>
      <c r="D84" s="287"/>
      <c r="E84" s="287"/>
      <c r="F84" s="287"/>
      <c r="G84" s="287"/>
      <c r="H84" s="287"/>
      <c r="I84" s="287"/>
      <c r="J84" s="287"/>
    </row>
    <row r="85" spans="2:10" ht="38.25">
      <c r="B85" s="28"/>
      <c r="C85" s="28" t="s">
        <v>678</v>
      </c>
      <c r="D85" s="28"/>
      <c r="E85" s="28"/>
      <c r="F85" s="28"/>
      <c r="G85" s="28"/>
      <c r="H85" s="28"/>
      <c r="I85" s="28"/>
      <c r="J85" s="28"/>
    </row>
    <row r="86" spans="2:10">
      <c r="C86" s="35" t="s">
        <v>679</v>
      </c>
    </row>
  </sheetData>
  <mergeCells count="11">
    <mergeCell ref="B9:C9"/>
    <mergeCell ref="B10:C10"/>
    <mergeCell ref="B11:C11"/>
    <mergeCell ref="B13:J13"/>
    <mergeCell ref="B84:J84"/>
    <mergeCell ref="B8:C8"/>
    <mergeCell ref="B2:E2"/>
    <mergeCell ref="B3:C3"/>
    <mergeCell ref="B4:C4"/>
    <mergeCell ref="B6:C6"/>
    <mergeCell ref="B7:C7"/>
  </mergeCells>
  <dataValidations count="1">
    <dataValidation type="list" showInputMessage="1" showErrorMessage="1" sqref="D33:D79">
      <formula1>"TODO NATIVO, NATIVO Y DESARROLLO, DESARROLLO TOTAL"</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rgb="FF00B050"/>
  </sheetPr>
  <dimension ref="A1:J142"/>
  <sheetViews>
    <sheetView topLeftCell="A7" zoomScale="70" zoomScaleNormal="70" workbookViewId="0">
      <selection activeCell="C33" sqref="C33:C135"/>
    </sheetView>
  </sheetViews>
  <sheetFormatPr defaultColWidth="9.140625" defaultRowHeight="12.75"/>
  <cols>
    <col min="1" max="1" width="1.5703125" customWidth="1"/>
    <col min="2" max="2" width="9.140625" style="32"/>
    <col min="3" max="3" width="44.42578125" style="32" customWidth="1"/>
    <col min="4" max="4" width="22.140625" customWidth="1"/>
    <col min="5" max="5" width="13.7109375" customWidth="1"/>
    <col min="6" max="6" width="11" customWidth="1"/>
    <col min="7" max="7" width="11.5703125" customWidth="1"/>
    <col min="8" max="8" width="11" customWidth="1"/>
    <col min="9" max="9" width="13" customWidth="1"/>
    <col min="10" max="10" width="10.5703125" style="33" customWidth="1"/>
  </cols>
  <sheetData>
    <row r="1" spans="2:10" ht="13.5" thickBot="1">
      <c r="C1" s="35"/>
    </row>
    <row r="2" spans="2:10" ht="15" thickBot="1">
      <c r="B2" s="281" t="s">
        <v>718</v>
      </c>
      <c r="C2" s="282"/>
      <c r="D2" s="282"/>
      <c r="E2" s="283"/>
      <c r="F2" s="82"/>
    </row>
    <row r="3" spans="2:10" ht="25.5">
      <c r="B3" s="277" t="s">
        <v>688</v>
      </c>
      <c r="C3" s="278"/>
      <c r="D3" s="66" t="s">
        <v>690</v>
      </c>
      <c r="E3" s="67" t="s">
        <v>691</v>
      </c>
    </row>
    <row r="4" spans="2:10" ht="13.5" thickBot="1">
      <c r="B4" s="279" t="s">
        <v>701</v>
      </c>
      <c r="C4" s="280"/>
      <c r="D4" s="80" t="s">
        <v>700</v>
      </c>
      <c r="E4" s="81" t="s">
        <v>692</v>
      </c>
    </row>
    <row r="5" spans="2:10" ht="13.5" thickBot="1">
      <c r="C5" s="35"/>
    </row>
    <row r="6" spans="2:10" ht="38.25" customHeight="1">
      <c r="B6" s="284" t="s">
        <v>689</v>
      </c>
      <c r="C6" s="285"/>
      <c r="D6" s="153" t="s">
        <v>861</v>
      </c>
      <c r="E6" s="67" t="s">
        <v>862</v>
      </c>
      <c r="F6" s="153" t="s">
        <v>860</v>
      </c>
      <c r="G6" s="67" t="s">
        <v>862</v>
      </c>
      <c r="H6" s="67" t="s">
        <v>694</v>
      </c>
    </row>
    <row r="7" spans="2:10" ht="12.75" customHeight="1">
      <c r="B7" s="288" t="s">
        <v>693</v>
      </c>
      <c r="C7" s="289"/>
      <c r="D7" s="154" t="s">
        <v>695</v>
      </c>
      <c r="E7" s="155"/>
      <c r="F7" s="154" t="s">
        <v>695</v>
      </c>
      <c r="G7" s="155"/>
      <c r="H7" s="160" t="s">
        <v>692</v>
      </c>
    </row>
    <row r="8" spans="2:10" ht="12.75" customHeight="1">
      <c r="B8" s="288" t="s">
        <v>696</v>
      </c>
      <c r="C8" s="289"/>
      <c r="D8" s="154" t="s">
        <v>695</v>
      </c>
      <c r="E8" s="155"/>
      <c r="F8" s="154" t="s">
        <v>695</v>
      </c>
      <c r="G8" s="155"/>
      <c r="H8" s="160" t="s">
        <v>692</v>
      </c>
    </row>
    <row r="9" spans="2:10" ht="12.75" customHeight="1">
      <c r="B9" s="288" t="s">
        <v>697</v>
      </c>
      <c r="C9" s="289"/>
      <c r="D9" s="154" t="s">
        <v>695</v>
      </c>
      <c r="E9" s="155"/>
      <c r="F9" s="154" t="s">
        <v>695</v>
      </c>
      <c r="G9" s="155"/>
      <c r="H9" s="160" t="s">
        <v>692</v>
      </c>
    </row>
    <row r="10" spans="2:10" ht="12.75" customHeight="1">
      <c r="B10" s="288" t="s">
        <v>698</v>
      </c>
      <c r="C10" s="289"/>
      <c r="D10" s="154" t="s">
        <v>695</v>
      </c>
      <c r="E10" s="155"/>
      <c r="F10" s="154" t="s">
        <v>695</v>
      </c>
      <c r="G10" s="155"/>
      <c r="H10" s="160" t="s">
        <v>692</v>
      </c>
    </row>
    <row r="11" spans="2:10" ht="13.5" customHeight="1" thickBot="1">
      <c r="B11" s="290" t="s">
        <v>699</v>
      </c>
      <c r="C11" s="291"/>
      <c r="D11" s="156" t="s">
        <v>695</v>
      </c>
      <c r="E11" s="157"/>
      <c r="F11" s="156" t="s">
        <v>695</v>
      </c>
      <c r="G11" s="157"/>
      <c r="H11" s="161" t="s">
        <v>692</v>
      </c>
    </row>
    <row r="12" spans="2:10">
      <c r="C12" s="35"/>
    </row>
    <row r="13" spans="2:10" ht="14.25">
      <c r="B13" s="286" t="s">
        <v>704</v>
      </c>
      <c r="C13" s="287"/>
      <c r="D13" s="287"/>
      <c r="E13" s="287"/>
      <c r="F13" s="287"/>
      <c r="G13" s="287"/>
      <c r="H13" s="287"/>
      <c r="I13" s="287"/>
      <c r="J13" s="287"/>
    </row>
    <row r="14" spans="2:10">
      <c r="B14" s="31" t="s">
        <v>257</v>
      </c>
      <c r="C14" s="28" t="s">
        <v>446</v>
      </c>
    </row>
    <row r="15" spans="2:10">
      <c r="B15" s="32" t="s">
        <v>103</v>
      </c>
      <c r="C15" s="32" t="s">
        <v>208</v>
      </c>
    </row>
    <row r="16" spans="2:10">
      <c r="B16" s="32" t="s">
        <v>104</v>
      </c>
      <c r="C16" s="32" t="s">
        <v>209</v>
      </c>
    </row>
    <row r="17" spans="2:6">
      <c r="B17" s="32" t="s">
        <v>105</v>
      </c>
      <c r="C17" s="32" t="s">
        <v>215</v>
      </c>
    </row>
    <row r="18" spans="2:6">
      <c r="B18" t="s">
        <v>106</v>
      </c>
      <c r="C18" s="32" t="s">
        <v>210</v>
      </c>
    </row>
    <row r="19" spans="2:6">
      <c r="B19" t="s">
        <v>107</v>
      </c>
      <c r="C19" s="32" t="s">
        <v>211</v>
      </c>
    </row>
    <row r="20" spans="2:6" hidden="1">
      <c r="B20"/>
    </row>
    <row r="21" spans="2:6" hidden="1">
      <c r="B21"/>
    </row>
    <row r="22" spans="2:6" hidden="1">
      <c r="B22"/>
    </row>
    <row r="23" spans="2:6" hidden="1">
      <c r="B23"/>
    </row>
    <row r="24" spans="2:6" hidden="1">
      <c r="B24"/>
    </row>
    <row r="25" spans="2:6" hidden="1">
      <c r="B25"/>
    </row>
    <row r="26" spans="2:6" hidden="1">
      <c r="B26"/>
    </row>
    <row r="27" spans="2:6" hidden="1">
      <c r="B27"/>
    </row>
    <row r="28" spans="2:6" hidden="1">
      <c r="B28"/>
    </row>
    <row r="29" spans="2:6" hidden="1">
      <c r="B29"/>
    </row>
    <row r="30" spans="2:6" ht="13.5" thickBot="1">
      <c r="B30" s="224">
        <f>COUNT(B32:B300)</f>
        <v>103</v>
      </c>
    </row>
    <row r="31" spans="2:6" ht="40.5" customHeight="1">
      <c r="B31" s="164" t="s">
        <v>97</v>
      </c>
      <c r="C31" s="165" t="s">
        <v>96</v>
      </c>
      <c r="D31" s="105" t="s">
        <v>917</v>
      </c>
      <c r="E31" s="106" t="s">
        <v>98</v>
      </c>
      <c r="F31" s="107" t="s">
        <v>709</v>
      </c>
    </row>
    <row r="32" spans="2:6">
      <c r="B32" s="166" t="s">
        <v>257</v>
      </c>
      <c r="C32" s="178" t="s">
        <v>124</v>
      </c>
      <c r="D32" s="167"/>
      <c r="E32" s="159"/>
      <c r="F32" s="168"/>
    </row>
    <row r="33" spans="2:6" ht="216.75">
      <c r="B33" s="169">
        <v>1</v>
      </c>
      <c r="C33" s="306" t="s">
        <v>520</v>
      </c>
      <c r="D33" s="196" t="s">
        <v>918</v>
      </c>
      <c r="E33" s="147"/>
      <c r="F33" s="163" t="s">
        <v>103</v>
      </c>
    </row>
    <row r="34" spans="2:6" ht="25.5">
      <c r="B34" s="169">
        <v>2</v>
      </c>
      <c r="C34" s="307" t="s">
        <v>144</v>
      </c>
      <c r="D34" s="196" t="s">
        <v>918</v>
      </c>
      <c r="E34" s="147"/>
      <c r="F34" s="163" t="s">
        <v>103</v>
      </c>
    </row>
    <row r="35" spans="2:6" ht="63.75">
      <c r="B35" s="169">
        <v>3</v>
      </c>
      <c r="C35" s="307" t="s">
        <v>145</v>
      </c>
      <c r="D35" s="196" t="s">
        <v>918</v>
      </c>
      <c r="E35" s="147"/>
      <c r="F35" s="163" t="s">
        <v>103</v>
      </c>
    </row>
    <row r="36" spans="2:6" ht="63.75">
      <c r="B36" s="169">
        <v>4</v>
      </c>
      <c r="C36" s="307" t="s">
        <v>146</v>
      </c>
      <c r="D36" s="196" t="s">
        <v>918</v>
      </c>
      <c r="E36" s="147"/>
      <c r="F36" s="163" t="s">
        <v>103</v>
      </c>
    </row>
    <row r="37" spans="2:6" ht="51">
      <c r="B37" s="169">
        <v>5</v>
      </c>
      <c r="C37" s="307" t="s">
        <v>212</v>
      </c>
      <c r="D37" s="196" t="s">
        <v>918</v>
      </c>
      <c r="E37" s="147"/>
      <c r="F37" s="163" t="s">
        <v>103</v>
      </c>
    </row>
    <row r="38" spans="2:6" ht="38.25">
      <c r="B38" s="169">
        <v>6</v>
      </c>
      <c r="C38" s="307" t="s">
        <v>147</v>
      </c>
      <c r="D38" s="196" t="s">
        <v>918</v>
      </c>
      <c r="E38" s="147"/>
      <c r="F38" s="163" t="s">
        <v>103</v>
      </c>
    </row>
    <row r="39" spans="2:6" ht="76.5">
      <c r="B39" s="169">
        <v>7</v>
      </c>
      <c r="C39" s="307" t="s">
        <v>148</v>
      </c>
      <c r="D39" s="196" t="s">
        <v>918</v>
      </c>
      <c r="E39" s="147"/>
      <c r="F39" s="163" t="s">
        <v>103</v>
      </c>
    </row>
    <row r="40" spans="2:6" ht="63.75">
      <c r="B40" s="169">
        <v>8</v>
      </c>
      <c r="C40" s="307" t="s">
        <v>149</v>
      </c>
      <c r="D40" s="196" t="s">
        <v>918</v>
      </c>
      <c r="E40" s="147"/>
      <c r="F40" s="163" t="s">
        <v>103</v>
      </c>
    </row>
    <row r="41" spans="2:6" ht="38.25">
      <c r="B41" s="169">
        <v>9</v>
      </c>
      <c r="C41" s="307" t="s">
        <v>150</v>
      </c>
      <c r="D41" s="196" t="s">
        <v>918</v>
      </c>
      <c r="E41" s="147"/>
      <c r="F41" s="163" t="s">
        <v>103</v>
      </c>
    </row>
    <row r="42" spans="2:6" ht="63.75">
      <c r="B42" s="169">
        <v>10</v>
      </c>
      <c r="C42" s="307" t="s">
        <v>151</v>
      </c>
      <c r="D42" s="196" t="s">
        <v>918</v>
      </c>
      <c r="E42" s="147"/>
      <c r="F42" s="163" t="s">
        <v>103</v>
      </c>
    </row>
    <row r="43" spans="2:6" ht="25.5">
      <c r="B43" s="169">
        <v>11</v>
      </c>
      <c r="C43" s="307" t="s">
        <v>596</v>
      </c>
      <c r="D43" s="196" t="s">
        <v>918</v>
      </c>
      <c r="E43" s="147"/>
      <c r="F43" s="163" t="s">
        <v>103</v>
      </c>
    </row>
    <row r="44" spans="2:6" ht="63.75">
      <c r="B44" s="169">
        <v>12</v>
      </c>
      <c r="C44" s="307" t="s">
        <v>152</v>
      </c>
      <c r="D44" s="196" t="s">
        <v>918</v>
      </c>
      <c r="E44" s="147"/>
      <c r="F44" s="163" t="s">
        <v>103</v>
      </c>
    </row>
    <row r="45" spans="2:6" ht="89.25">
      <c r="B45" s="169">
        <v>13</v>
      </c>
      <c r="C45" s="307" t="s">
        <v>153</v>
      </c>
      <c r="D45" s="196" t="s">
        <v>918</v>
      </c>
      <c r="E45" s="147"/>
      <c r="F45" s="163" t="s">
        <v>103</v>
      </c>
    </row>
    <row r="46" spans="2:6" ht="51">
      <c r="B46" s="169">
        <v>14</v>
      </c>
      <c r="C46" s="307" t="s">
        <v>154</v>
      </c>
      <c r="D46" s="196" t="s">
        <v>918</v>
      </c>
      <c r="E46" s="147"/>
      <c r="F46" s="163" t="s">
        <v>103</v>
      </c>
    </row>
    <row r="47" spans="2:6" ht="63.75">
      <c r="B47" s="169">
        <v>15</v>
      </c>
      <c r="C47" s="307" t="s">
        <v>155</v>
      </c>
      <c r="D47" s="196" t="s">
        <v>918</v>
      </c>
      <c r="E47" s="147"/>
      <c r="F47" s="163" t="s">
        <v>103</v>
      </c>
    </row>
    <row r="48" spans="2:6" ht="51">
      <c r="B48" s="169">
        <v>16</v>
      </c>
      <c r="C48" s="307" t="s">
        <v>156</v>
      </c>
      <c r="D48" s="196" t="s">
        <v>918</v>
      </c>
      <c r="E48" s="147"/>
      <c r="F48" s="163" t="s">
        <v>103</v>
      </c>
    </row>
    <row r="49" spans="2:6" ht="38.25">
      <c r="B49" s="169">
        <v>17</v>
      </c>
      <c r="C49" s="307" t="s">
        <v>157</v>
      </c>
      <c r="D49" s="196" t="s">
        <v>918</v>
      </c>
      <c r="E49" s="147"/>
      <c r="F49" s="163" t="s">
        <v>103</v>
      </c>
    </row>
    <row r="50" spans="2:6" ht="38.25">
      <c r="B50" s="169">
        <v>18</v>
      </c>
      <c r="C50" s="307" t="s">
        <v>504</v>
      </c>
      <c r="D50" s="196" t="s">
        <v>918</v>
      </c>
      <c r="E50" s="147"/>
      <c r="F50" s="163" t="s">
        <v>103</v>
      </c>
    </row>
    <row r="51" spans="2:6" ht="38.25">
      <c r="B51" s="169">
        <v>19</v>
      </c>
      <c r="C51" s="307" t="s">
        <v>158</v>
      </c>
      <c r="D51" s="196" t="s">
        <v>918</v>
      </c>
      <c r="E51" s="147"/>
      <c r="F51" s="163" t="s">
        <v>103</v>
      </c>
    </row>
    <row r="52" spans="2:6" ht="38.25">
      <c r="B52" s="169">
        <v>20</v>
      </c>
      <c r="C52" s="307" t="s">
        <v>159</v>
      </c>
      <c r="D52" s="196" t="s">
        <v>918</v>
      </c>
      <c r="E52" s="147"/>
      <c r="F52" s="163" t="s">
        <v>103</v>
      </c>
    </row>
    <row r="53" spans="2:6" ht="25.5">
      <c r="B53" s="169">
        <v>21</v>
      </c>
      <c r="C53" s="307" t="s">
        <v>160</v>
      </c>
      <c r="D53" s="196" t="s">
        <v>918</v>
      </c>
      <c r="E53" s="147"/>
      <c r="F53" s="163" t="s">
        <v>103</v>
      </c>
    </row>
    <row r="54" spans="2:6" ht="25.5">
      <c r="B54" s="169">
        <v>22</v>
      </c>
      <c r="C54" s="307" t="s">
        <v>161</v>
      </c>
      <c r="D54" s="196" t="s">
        <v>918</v>
      </c>
      <c r="E54" s="147"/>
      <c r="F54" s="163" t="s">
        <v>103</v>
      </c>
    </row>
    <row r="55" spans="2:6" ht="25.5">
      <c r="B55" s="169">
        <v>23</v>
      </c>
      <c r="C55" s="307" t="s">
        <v>162</v>
      </c>
      <c r="D55" s="196" t="s">
        <v>918</v>
      </c>
      <c r="E55" s="147"/>
      <c r="F55" s="163" t="s">
        <v>103</v>
      </c>
    </row>
    <row r="56" spans="2:6" ht="38.25">
      <c r="B56" s="169">
        <v>24</v>
      </c>
      <c r="C56" s="307" t="s">
        <v>163</v>
      </c>
      <c r="D56" s="196" t="s">
        <v>918</v>
      </c>
      <c r="E56" s="147"/>
      <c r="F56" s="163" t="s">
        <v>103</v>
      </c>
    </row>
    <row r="57" spans="2:6" ht="153">
      <c r="B57" s="169">
        <v>25</v>
      </c>
      <c r="C57" s="307" t="s">
        <v>597</v>
      </c>
      <c r="D57" s="196" t="s">
        <v>918</v>
      </c>
      <c r="E57" s="147"/>
      <c r="F57" s="163" t="s">
        <v>103</v>
      </c>
    </row>
    <row r="58" spans="2:6" ht="51">
      <c r="B58" s="169">
        <v>26</v>
      </c>
      <c r="C58" s="307" t="s">
        <v>584</v>
      </c>
      <c r="D58" s="196" t="s">
        <v>918</v>
      </c>
      <c r="E58" s="147"/>
      <c r="F58" s="163" t="s">
        <v>103</v>
      </c>
    </row>
    <row r="59" spans="2:6" ht="51">
      <c r="B59" s="169">
        <v>27</v>
      </c>
      <c r="C59" s="307" t="s">
        <v>585</v>
      </c>
      <c r="D59" s="196" t="s">
        <v>918</v>
      </c>
      <c r="E59" s="147"/>
      <c r="F59" s="163" t="s">
        <v>103</v>
      </c>
    </row>
    <row r="60" spans="2:6" ht="25.5">
      <c r="B60" s="169">
        <v>28</v>
      </c>
      <c r="C60" s="307" t="s">
        <v>586</v>
      </c>
      <c r="D60" s="196" t="s">
        <v>918</v>
      </c>
      <c r="E60" s="147"/>
      <c r="F60" s="163" t="s">
        <v>103</v>
      </c>
    </row>
    <row r="61" spans="2:6">
      <c r="B61" s="169">
        <v>29</v>
      </c>
      <c r="C61" s="307" t="s">
        <v>164</v>
      </c>
      <c r="D61" s="196" t="s">
        <v>918</v>
      </c>
      <c r="E61" s="147"/>
      <c r="F61" s="163" t="s">
        <v>103</v>
      </c>
    </row>
    <row r="62" spans="2:6" ht="25.5">
      <c r="B62" s="169">
        <v>30</v>
      </c>
      <c r="C62" s="307" t="s">
        <v>165</v>
      </c>
      <c r="D62" s="196" t="s">
        <v>918</v>
      </c>
      <c r="E62" s="147"/>
      <c r="F62" s="163" t="s">
        <v>103</v>
      </c>
    </row>
    <row r="63" spans="2:6" ht="25.5">
      <c r="B63" s="169">
        <v>31</v>
      </c>
      <c r="C63" s="307" t="s">
        <v>598</v>
      </c>
      <c r="D63" s="196" t="s">
        <v>918</v>
      </c>
      <c r="E63" s="147"/>
      <c r="F63" s="163" t="s">
        <v>103</v>
      </c>
    </row>
    <row r="64" spans="2:6" ht="63.75">
      <c r="B64" s="169">
        <v>32</v>
      </c>
      <c r="C64" s="307" t="s">
        <v>213</v>
      </c>
      <c r="D64" s="196" t="s">
        <v>918</v>
      </c>
      <c r="E64" s="147"/>
      <c r="F64" s="163" t="s">
        <v>104</v>
      </c>
    </row>
    <row r="65" spans="2:6" ht="25.5">
      <c r="B65" s="169">
        <v>33</v>
      </c>
      <c r="C65" s="308" t="s">
        <v>815</v>
      </c>
      <c r="D65" s="196" t="s">
        <v>918</v>
      </c>
      <c r="E65" s="147"/>
      <c r="F65" s="163" t="s">
        <v>104</v>
      </c>
    </row>
    <row r="66" spans="2:6" ht="51">
      <c r="B66" s="169">
        <v>34</v>
      </c>
      <c r="C66" s="307" t="s">
        <v>214</v>
      </c>
      <c r="D66" s="196" t="s">
        <v>918</v>
      </c>
      <c r="E66" s="147"/>
      <c r="F66" s="163" t="s">
        <v>104</v>
      </c>
    </row>
    <row r="67" spans="2:6" ht="63.75">
      <c r="B67" s="169">
        <v>35</v>
      </c>
      <c r="C67" s="307" t="s">
        <v>521</v>
      </c>
      <c r="D67" s="196" t="s">
        <v>918</v>
      </c>
      <c r="E67" s="147"/>
      <c r="F67" s="163" t="s">
        <v>104</v>
      </c>
    </row>
    <row r="68" spans="2:6" ht="63.75">
      <c r="B68" s="169">
        <v>36</v>
      </c>
      <c r="C68" s="307" t="s">
        <v>166</v>
      </c>
      <c r="D68" s="196" t="s">
        <v>918</v>
      </c>
      <c r="E68" s="147"/>
      <c r="F68" s="163" t="s">
        <v>104</v>
      </c>
    </row>
    <row r="69" spans="2:6" ht="63.75">
      <c r="B69" s="169">
        <v>37</v>
      </c>
      <c r="C69" s="307" t="s">
        <v>261</v>
      </c>
      <c r="D69" s="196" t="s">
        <v>918</v>
      </c>
      <c r="E69" s="147"/>
      <c r="F69" s="163" t="s">
        <v>104</v>
      </c>
    </row>
    <row r="70" spans="2:6" ht="51">
      <c r="B70" s="169">
        <v>38</v>
      </c>
      <c r="C70" s="308" t="s">
        <v>725</v>
      </c>
      <c r="D70" s="196" t="s">
        <v>918</v>
      </c>
      <c r="E70" s="147"/>
      <c r="F70" s="163" t="s">
        <v>104</v>
      </c>
    </row>
    <row r="71" spans="2:6" ht="51">
      <c r="B71" s="169">
        <v>39</v>
      </c>
      <c r="C71" s="307" t="s">
        <v>167</v>
      </c>
      <c r="D71" s="196" t="s">
        <v>918</v>
      </c>
      <c r="E71" s="147"/>
      <c r="F71" s="163" t="s">
        <v>104</v>
      </c>
    </row>
    <row r="72" spans="2:6" ht="51">
      <c r="B72" s="169">
        <v>40</v>
      </c>
      <c r="C72" s="307" t="s">
        <v>168</v>
      </c>
      <c r="D72" s="196" t="s">
        <v>918</v>
      </c>
      <c r="E72" s="147"/>
      <c r="F72" s="163" t="s">
        <v>104</v>
      </c>
    </row>
    <row r="73" spans="2:6" ht="63.75">
      <c r="B73" s="169">
        <v>41</v>
      </c>
      <c r="C73" s="307" t="s">
        <v>169</v>
      </c>
      <c r="D73" s="196" t="s">
        <v>918</v>
      </c>
      <c r="E73" s="147"/>
      <c r="F73" s="163" t="s">
        <v>104</v>
      </c>
    </row>
    <row r="74" spans="2:6" ht="38.25">
      <c r="B74" s="169">
        <v>42</v>
      </c>
      <c r="C74" s="307" t="s">
        <v>170</v>
      </c>
      <c r="D74" s="196" t="s">
        <v>918</v>
      </c>
      <c r="E74" s="147"/>
      <c r="F74" s="163" t="s">
        <v>104</v>
      </c>
    </row>
    <row r="75" spans="2:6" ht="76.5">
      <c r="B75" s="169">
        <v>43</v>
      </c>
      <c r="C75" s="307" t="s">
        <v>171</v>
      </c>
      <c r="D75" s="196" t="s">
        <v>918</v>
      </c>
      <c r="E75" s="147"/>
      <c r="F75" s="163" t="s">
        <v>104</v>
      </c>
    </row>
    <row r="76" spans="2:6" ht="38.25">
      <c r="B76" s="169">
        <v>44</v>
      </c>
      <c r="C76" s="307" t="s">
        <v>172</v>
      </c>
      <c r="D76" s="196" t="s">
        <v>918</v>
      </c>
      <c r="E76" s="147"/>
      <c r="F76" s="163" t="s">
        <v>104</v>
      </c>
    </row>
    <row r="77" spans="2:6" ht="38.25">
      <c r="B77" s="169">
        <v>45</v>
      </c>
      <c r="C77" s="307" t="s">
        <v>173</v>
      </c>
      <c r="D77" s="196" t="s">
        <v>918</v>
      </c>
      <c r="E77" s="147"/>
      <c r="F77" s="163" t="s">
        <v>104</v>
      </c>
    </row>
    <row r="78" spans="2:6" ht="38.25">
      <c r="B78" s="169">
        <v>46</v>
      </c>
      <c r="C78" s="307" t="s">
        <v>174</v>
      </c>
      <c r="D78" s="196" t="s">
        <v>918</v>
      </c>
      <c r="E78" s="147"/>
      <c r="F78" s="163" t="s">
        <v>104</v>
      </c>
    </row>
    <row r="79" spans="2:6" ht="38.25">
      <c r="B79" s="169">
        <v>47</v>
      </c>
      <c r="C79" s="307" t="s">
        <v>175</v>
      </c>
      <c r="D79" s="196" t="s">
        <v>918</v>
      </c>
      <c r="E79" s="147"/>
      <c r="F79" s="163" t="s">
        <v>104</v>
      </c>
    </row>
    <row r="80" spans="2:6" ht="63.75">
      <c r="B80" s="169">
        <v>48</v>
      </c>
      <c r="C80" s="307" t="s">
        <v>176</v>
      </c>
      <c r="D80" s="196" t="s">
        <v>918</v>
      </c>
      <c r="E80" s="147"/>
      <c r="F80" s="163" t="s">
        <v>104</v>
      </c>
    </row>
    <row r="81" spans="2:6" ht="63.75">
      <c r="B81" s="169">
        <v>49</v>
      </c>
      <c r="C81" s="307" t="s">
        <v>177</v>
      </c>
      <c r="D81" s="196" t="s">
        <v>918</v>
      </c>
      <c r="E81" s="147"/>
      <c r="F81" s="163" t="s">
        <v>104</v>
      </c>
    </row>
    <row r="82" spans="2:6" ht="51">
      <c r="B82" s="169">
        <v>50</v>
      </c>
      <c r="C82" s="307" t="s">
        <v>522</v>
      </c>
      <c r="D82" s="196" t="s">
        <v>918</v>
      </c>
      <c r="E82" s="147"/>
      <c r="F82" s="163" t="s">
        <v>104</v>
      </c>
    </row>
    <row r="83" spans="2:6" ht="89.25">
      <c r="B83" s="169">
        <v>51</v>
      </c>
      <c r="C83" s="307" t="s">
        <v>599</v>
      </c>
      <c r="D83" s="196" t="s">
        <v>918</v>
      </c>
      <c r="E83" s="147"/>
      <c r="F83" s="163" t="s">
        <v>104</v>
      </c>
    </row>
    <row r="84" spans="2:6" ht="51">
      <c r="B84" s="169">
        <v>52</v>
      </c>
      <c r="C84" s="309" t="s">
        <v>458</v>
      </c>
      <c r="D84" s="196" t="s">
        <v>918</v>
      </c>
      <c r="E84" s="147"/>
      <c r="F84" s="163" t="s">
        <v>104</v>
      </c>
    </row>
    <row r="85" spans="2:6" ht="25.5">
      <c r="B85" s="169">
        <v>53</v>
      </c>
      <c r="C85" s="307" t="s">
        <v>178</v>
      </c>
      <c r="D85" s="196" t="s">
        <v>918</v>
      </c>
      <c r="E85" s="147"/>
      <c r="F85" s="163" t="s">
        <v>105</v>
      </c>
    </row>
    <row r="86" spans="2:6" ht="51">
      <c r="B86" s="169">
        <v>54</v>
      </c>
      <c r="C86" s="307" t="s">
        <v>600</v>
      </c>
      <c r="D86" s="196" t="s">
        <v>918</v>
      </c>
      <c r="E86" s="147"/>
      <c r="F86" s="163" t="s">
        <v>105</v>
      </c>
    </row>
    <row r="87" spans="2:6" ht="25.5">
      <c r="B87" s="169">
        <v>55</v>
      </c>
      <c r="C87" s="307" t="s">
        <v>179</v>
      </c>
      <c r="D87" s="196" t="s">
        <v>918</v>
      </c>
      <c r="E87" s="147"/>
      <c r="F87" s="163" t="s">
        <v>105</v>
      </c>
    </row>
    <row r="88" spans="2:6" ht="38.25">
      <c r="B88" s="169">
        <v>56</v>
      </c>
      <c r="C88" s="307" t="s">
        <v>180</v>
      </c>
      <c r="D88" s="196" t="s">
        <v>918</v>
      </c>
      <c r="E88" s="147"/>
      <c r="F88" s="163" t="s">
        <v>105</v>
      </c>
    </row>
    <row r="89" spans="2:6" ht="38.25">
      <c r="B89" s="169">
        <v>57</v>
      </c>
      <c r="C89" s="307" t="s">
        <v>181</v>
      </c>
      <c r="D89" s="196" t="s">
        <v>918</v>
      </c>
      <c r="E89" s="147"/>
      <c r="F89" s="163" t="s">
        <v>105</v>
      </c>
    </row>
    <row r="90" spans="2:6" ht="25.5">
      <c r="B90" s="169">
        <v>58</v>
      </c>
      <c r="C90" s="307" t="s">
        <v>182</v>
      </c>
      <c r="D90" s="196" t="s">
        <v>918</v>
      </c>
      <c r="E90" s="147"/>
      <c r="F90" s="163" t="s">
        <v>105</v>
      </c>
    </row>
    <row r="91" spans="2:6">
      <c r="B91" s="169">
        <v>59</v>
      </c>
      <c r="C91" s="307" t="s">
        <v>183</v>
      </c>
      <c r="D91" s="196" t="s">
        <v>918</v>
      </c>
      <c r="E91" s="147"/>
      <c r="F91" s="163" t="s">
        <v>105</v>
      </c>
    </row>
    <row r="92" spans="2:6" ht="51">
      <c r="B92" s="169">
        <v>60</v>
      </c>
      <c r="C92" s="307" t="s">
        <v>523</v>
      </c>
      <c r="D92" s="196" t="s">
        <v>918</v>
      </c>
      <c r="E92" s="147"/>
      <c r="F92" s="163" t="s">
        <v>105</v>
      </c>
    </row>
    <row r="93" spans="2:6" ht="25.5">
      <c r="B93" s="169">
        <v>61</v>
      </c>
      <c r="C93" s="307" t="s">
        <v>184</v>
      </c>
      <c r="D93" s="196" t="s">
        <v>918</v>
      </c>
      <c r="E93" s="147"/>
      <c r="F93" s="163" t="s">
        <v>105</v>
      </c>
    </row>
    <row r="94" spans="2:6" ht="25.5">
      <c r="B94" s="169">
        <v>62</v>
      </c>
      <c r="C94" s="307" t="s">
        <v>185</v>
      </c>
      <c r="D94" s="196" t="s">
        <v>918</v>
      </c>
      <c r="E94" s="147"/>
      <c r="F94" s="163" t="s">
        <v>105</v>
      </c>
    </row>
    <row r="95" spans="2:6" ht="89.25">
      <c r="B95" s="169">
        <v>63</v>
      </c>
      <c r="C95" s="307" t="s">
        <v>392</v>
      </c>
      <c r="D95" s="196" t="s">
        <v>918</v>
      </c>
      <c r="E95" s="147"/>
      <c r="F95" s="163" t="s">
        <v>106</v>
      </c>
    </row>
    <row r="96" spans="2:6" ht="63.75">
      <c r="B96" s="169">
        <v>64</v>
      </c>
      <c r="C96" s="307" t="s">
        <v>266</v>
      </c>
      <c r="D96" s="196" t="s">
        <v>918</v>
      </c>
      <c r="E96" s="147"/>
      <c r="F96" s="163" t="s">
        <v>106</v>
      </c>
    </row>
    <row r="97" spans="2:6" ht="51">
      <c r="B97" s="169">
        <v>65</v>
      </c>
      <c r="C97" s="307" t="s">
        <v>506</v>
      </c>
      <c r="D97" s="196" t="s">
        <v>918</v>
      </c>
      <c r="E97" s="147"/>
      <c r="F97" s="163" t="s">
        <v>106</v>
      </c>
    </row>
    <row r="98" spans="2:6" ht="51">
      <c r="B98" s="169">
        <v>66</v>
      </c>
      <c r="C98" s="307" t="s">
        <v>216</v>
      </c>
      <c r="D98" s="196" t="s">
        <v>918</v>
      </c>
      <c r="E98" s="147"/>
      <c r="F98" s="163" t="s">
        <v>106</v>
      </c>
    </row>
    <row r="99" spans="2:6" ht="63.75">
      <c r="B99" s="169">
        <v>67</v>
      </c>
      <c r="C99" s="307" t="s">
        <v>507</v>
      </c>
      <c r="D99" s="196" t="s">
        <v>918</v>
      </c>
      <c r="E99" s="147"/>
      <c r="F99" s="163" t="s">
        <v>106</v>
      </c>
    </row>
    <row r="100" spans="2:6" ht="63.75">
      <c r="B100" s="169">
        <v>68</v>
      </c>
      <c r="C100" s="307" t="s">
        <v>186</v>
      </c>
      <c r="D100" s="196" t="s">
        <v>918</v>
      </c>
      <c r="E100" s="147"/>
      <c r="F100" s="163" t="s">
        <v>106</v>
      </c>
    </row>
    <row r="101" spans="2:6" ht="38.25">
      <c r="B101" s="169">
        <v>69</v>
      </c>
      <c r="C101" s="307" t="s">
        <v>524</v>
      </c>
      <c r="D101" s="196" t="s">
        <v>918</v>
      </c>
      <c r="E101" s="147"/>
      <c r="F101" s="163" t="s">
        <v>106</v>
      </c>
    </row>
    <row r="102" spans="2:6" ht="25.5">
      <c r="B102" s="169">
        <v>70</v>
      </c>
      <c r="C102" s="307" t="s">
        <v>187</v>
      </c>
      <c r="D102" s="196" t="s">
        <v>918</v>
      </c>
      <c r="E102" s="147"/>
      <c r="F102" s="163" t="s">
        <v>106</v>
      </c>
    </row>
    <row r="103" spans="2:6" ht="51">
      <c r="B103" s="169">
        <v>71</v>
      </c>
      <c r="C103" s="307" t="s">
        <v>188</v>
      </c>
      <c r="D103" s="196" t="s">
        <v>918</v>
      </c>
      <c r="E103" s="147"/>
      <c r="F103" s="163" t="s">
        <v>106</v>
      </c>
    </row>
    <row r="104" spans="2:6" ht="51">
      <c r="B104" s="169">
        <v>72</v>
      </c>
      <c r="C104" s="307" t="s">
        <v>189</v>
      </c>
      <c r="D104" s="196" t="s">
        <v>918</v>
      </c>
      <c r="E104" s="147"/>
      <c r="F104" s="163" t="s">
        <v>106</v>
      </c>
    </row>
    <row r="105" spans="2:6" ht="38.25">
      <c r="B105" s="169">
        <v>73</v>
      </c>
      <c r="C105" s="307" t="s">
        <v>190</v>
      </c>
      <c r="D105" s="196" t="s">
        <v>918</v>
      </c>
      <c r="E105" s="147"/>
      <c r="F105" s="163" t="s">
        <v>106</v>
      </c>
    </row>
    <row r="106" spans="2:6" ht="51">
      <c r="B106" s="169">
        <v>74</v>
      </c>
      <c r="C106" s="307" t="s">
        <v>191</v>
      </c>
      <c r="D106" s="196" t="s">
        <v>918</v>
      </c>
      <c r="E106" s="147"/>
      <c r="F106" s="163" t="s">
        <v>106</v>
      </c>
    </row>
    <row r="107" spans="2:6" ht="51">
      <c r="B107" s="169">
        <v>75</v>
      </c>
      <c r="C107" s="307" t="s">
        <v>192</v>
      </c>
      <c r="D107" s="196" t="s">
        <v>918</v>
      </c>
      <c r="E107" s="147"/>
      <c r="F107" s="163" t="s">
        <v>106</v>
      </c>
    </row>
    <row r="108" spans="2:6" ht="51">
      <c r="B108" s="169">
        <v>76</v>
      </c>
      <c r="C108" s="307" t="s">
        <v>193</v>
      </c>
      <c r="D108" s="196" t="s">
        <v>918</v>
      </c>
      <c r="E108" s="147"/>
      <c r="F108" s="163" t="s">
        <v>106</v>
      </c>
    </row>
    <row r="109" spans="2:6" ht="51">
      <c r="B109" s="169">
        <v>77</v>
      </c>
      <c r="C109" s="307" t="s">
        <v>194</v>
      </c>
      <c r="D109" s="196" t="s">
        <v>918</v>
      </c>
      <c r="E109" s="147"/>
      <c r="F109" s="163" t="s">
        <v>106</v>
      </c>
    </row>
    <row r="110" spans="2:6" ht="76.5">
      <c r="B110" s="169">
        <v>78</v>
      </c>
      <c r="C110" s="308" t="s">
        <v>726</v>
      </c>
      <c r="D110" s="196" t="s">
        <v>918</v>
      </c>
      <c r="E110" s="147"/>
      <c r="F110" s="163" t="s">
        <v>106</v>
      </c>
    </row>
    <row r="111" spans="2:6" ht="76.5">
      <c r="B111" s="169">
        <v>79</v>
      </c>
      <c r="C111" s="307" t="s">
        <v>217</v>
      </c>
      <c r="D111" s="196" t="s">
        <v>918</v>
      </c>
      <c r="E111" s="147"/>
      <c r="F111" s="163" t="s">
        <v>107</v>
      </c>
    </row>
    <row r="112" spans="2:6" ht="38.25">
      <c r="B112" s="169">
        <v>80</v>
      </c>
      <c r="C112" s="307" t="s">
        <v>195</v>
      </c>
      <c r="D112" s="196" t="s">
        <v>918</v>
      </c>
      <c r="E112" s="147"/>
      <c r="F112" s="163" t="s">
        <v>107</v>
      </c>
    </row>
    <row r="113" spans="2:6" ht="38.25">
      <c r="B113" s="169">
        <v>81</v>
      </c>
      <c r="C113" s="307" t="s">
        <v>196</v>
      </c>
      <c r="D113" s="196" t="s">
        <v>918</v>
      </c>
      <c r="E113" s="147"/>
      <c r="F113" s="163" t="s">
        <v>107</v>
      </c>
    </row>
    <row r="114" spans="2:6" ht="102">
      <c r="B114" s="169">
        <v>82</v>
      </c>
      <c r="C114" s="307" t="s">
        <v>525</v>
      </c>
      <c r="D114" s="196" t="s">
        <v>918</v>
      </c>
      <c r="E114" s="147"/>
      <c r="F114" s="163" t="s">
        <v>107</v>
      </c>
    </row>
    <row r="115" spans="2:6" ht="51">
      <c r="B115" s="169">
        <v>83</v>
      </c>
      <c r="C115" s="307" t="s">
        <v>601</v>
      </c>
      <c r="D115" s="196" t="s">
        <v>918</v>
      </c>
      <c r="E115" s="147"/>
      <c r="F115" s="163" t="s">
        <v>107</v>
      </c>
    </row>
    <row r="116" spans="2:6" ht="38.25">
      <c r="B116" s="169">
        <v>84</v>
      </c>
      <c r="C116" s="307" t="s">
        <v>197</v>
      </c>
      <c r="D116" s="196" t="s">
        <v>918</v>
      </c>
      <c r="E116" s="147"/>
      <c r="F116" s="163" t="s">
        <v>107</v>
      </c>
    </row>
    <row r="117" spans="2:6" ht="38.25">
      <c r="B117" s="169">
        <v>85</v>
      </c>
      <c r="C117" s="307" t="s">
        <v>198</v>
      </c>
      <c r="D117" s="196" t="s">
        <v>918</v>
      </c>
      <c r="E117" s="147"/>
      <c r="F117" s="163" t="s">
        <v>107</v>
      </c>
    </row>
    <row r="118" spans="2:6" ht="25.5">
      <c r="B118" s="169">
        <v>86</v>
      </c>
      <c r="C118" s="307" t="s">
        <v>199</v>
      </c>
      <c r="D118" s="196" t="s">
        <v>918</v>
      </c>
      <c r="E118" s="147"/>
      <c r="F118" s="163" t="s">
        <v>107</v>
      </c>
    </row>
    <row r="119" spans="2:6" ht="76.5">
      <c r="B119" s="169">
        <v>87</v>
      </c>
      <c r="C119" s="307" t="s">
        <v>200</v>
      </c>
      <c r="D119" s="196" t="s">
        <v>918</v>
      </c>
      <c r="E119" s="147"/>
      <c r="F119" s="163" t="s">
        <v>107</v>
      </c>
    </row>
    <row r="120" spans="2:6" ht="38.25">
      <c r="B120" s="169">
        <v>88</v>
      </c>
      <c r="C120" s="307" t="s">
        <v>201</v>
      </c>
      <c r="D120" s="196" t="s">
        <v>918</v>
      </c>
      <c r="E120" s="147"/>
      <c r="F120" s="163" t="s">
        <v>107</v>
      </c>
    </row>
    <row r="121" spans="2:6" ht="25.5">
      <c r="B121" s="169">
        <v>89</v>
      </c>
      <c r="C121" s="307" t="s">
        <v>526</v>
      </c>
      <c r="D121" s="196" t="s">
        <v>918</v>
      </c>
      <c r="E121" s="147"/>
      <c r="F121" s="163" t="s">
        <v>107</v>
      </c>
    </row>
    <row r="122" spans="2:6" ht="38.25">
      <c r="B122" s="169">
        <v>90</v>
      </c>
      <c r="C122" s="307" t="s">
        <v>501</v>
      </c>
      <c r="D122" s="196" t="s">
        <v>918</v>
      </c>
      <c r="E122" s="147"/>
      <c r="F122" s="163" t="s">
        <v>107</v>
      </c>
    </row>
    <row r="123" spans="2:6" ht="25.5">
      <c r="B123" s="169">
        <v>91</v>
      </c>
      <c r="C123" s="307" t="s">
        <v>202</v>
      </c>
      <c r="D123" s="196" t="s">
        <v>918</v>
      </c>
      <c r="E123" s="147"/>
      <c r="F123" s="163" t="s">
        <v>107</v>
      </c>
    </row>
    <row r="124" spans="2:6" ht="25.5">
      <c r="B124" s="169">
        <v>92</v>
      </c>
      <c r="C124" s="307" t="s">
        <v>203</v>
      </c>
      <c r="D124" s="196" t="s">
        <v>918</v>
      </c>
      <c r="E124" s="147"/>
      <c r="F124" s="163" t="s">
        <v>107</v>
      </c>
    </row>
    <row r="125" spans="2:6" ht="25.5">
      <c r="B125" s="169">
        <v>93</v>
      </c>
      <c r="C125" s="307" t="s">
        <v>204</v>
      </c>
      <c r="D125" s="196" t="s">
        <v>918</v>
      </c>
      <c r="E125" s="147"/>
      <c r="F125" s="163" t="s">
        <v>107</v>
      </c>
    </row>
    <row r="126" spans="2:6" ht="38.25">
      <c r="B126" s="169">
        <v>94</v>
      </c>
      <c r="C126" s="307" t="s">
        <v>205</v>
      </c>
      <c r="D126" s="196" t="s">
        <v>918</v>
      </c>
      <c r="E126" s="147"/>
      <c r="F126" s="163" t="s">
        <v>107</v>
      </c>
    </row>
    <row r="127" spans="2:6" ht="76.5">
      <c r="B127" s="169">
        <v>95</v>
      </c>
      <c r="C127" s="307" t="s">
        <v>527</v>
      </c>
      <c r="D127" s="196" t="s">
        <v>918</v>
      </c>
      <c r="E127" s="147"/>
      <c r="F127" s="163" t="s">
        <v>107</v>
      </c>
    </row>
    <row r="128" spans="2:6" ht="38.25">
      <c r="B128" s="169">
        <v>96</v>
      </c>
      <c r="C128" s="307" t="s">
        <v>206</v>
      </c>
      <c r="D128" s="196" t="s">
        <v>918</v>
      </c>
      <c r="E128" s="147"/>
      <c r="F128" s="163" t="s">
        <v>107</v>
      </c>
    </row>
    <row r="129" spans="1:10" ht="51">
      <c r="B129" s="169">
        <v>97</v>
      </c>
      <c r="C129" s="307" t="s">
        <v>207</v>
      </c>
      <c r="D129" s="196" t="s">
        <v>918</v>
      </c>
      <c r="E129" s="147"/>
      <c r="F129" s="163" t="s">
        <v>107</v>
      </c>
    </row>
    <row r="130" spans="1:10" ht="51">
      <c r="B130" s="169">
        <v>98</v>
      </c>
      <c r="C130" s="307" t="s">
        <v>588</v>
      </c>
      <c r="D130" s="196" t="s">
        <v>918</v>
      </c>
      <c r="E130" s="147"/>
      <c r="F130" s="163" t="s">
        <v>107</v>
      </c>
    </row>
    <row r="131" spans="1:10" ht="38.25">
      <c r="A131" t="s">
        <v>107</v>
      </c>
      <c r="B131" s="169">
        <v>99</v>
      </c>
      <c r="C131" s="307" t="s">
        <v>572</v>
      </c>
      <c r="D131" s="196" t="s">
        <v>918</v>
      </c>
      <c r="E131" s="147"/>
      <c r="F131" s="163" t="s">
        <v>107</v>
      </c>
    </row>
    <row r="132" spans="1:10" ht="51">
      <c r="B132" s="169">
        <v>100</v>
      </c>
      <c r="C132" s="307" t="s">
        <v>573</v>
      </c>
      <c r="D132" s="196" t="s">
        <v>918</v>
      </c>
      <c r="E132" s="147"/>
      <c r="F132" s="163" t="s">
        <v>107</v>
      </c>
    </row>
    <row r="133" spans="1:10" ht="63.75">
      <c r="B133" s="169">
        <v>101</v>
      </c>
      <c r="C133" s="308" t="s">
        <v>844</v>
      </c>
      <c r="D133" s="196" t="s">
        <v>918</v>
      </c>
      <c r="E133" s="147"/>
      <c r="F133" s="163" t="s">
        <v>103</v>
      </c>
    </row>
    <row r="134" spans="1:10" ht="102">
      <c r="B134" s="169">
        <v>102</v>
      </c>
      <c r="C134" s="310" t="s">
        <v>843</v>
      </c>
      <c r="D134" s="196" t="s">
        <v>918</v>
      </c>
      <c r="E134" s="147"/>
      <c r="F134" s="163" t="s">
        <v>107</v>
      </c>
    </row>
    <row r="135" spans="1:10" ht="38.25">
      <c r="B135" s="169">
        <v>103</v>
      </c>
      <c r="C135" s="310" t="s">
        <v>840</v>
      </c>
      <c r="D135" s="196" t="s">
        <v>918</v>
      </c>
      <c r="E135" s="147"/>
      <c r="F135" s="163" t="s">
        <v>103</v>
      </c>
    </row>
    <row r="136" spans="1:10" ht="13.5" thickBot="1">
      <c r="B136" s="179"/>
      <c r="C136" s="180"/>
      <c r="D136" s="181"/>
      <c r="E136" s="181"/>
      <c r="F136" s="182"/>
    </row>
    <row r="137" spans="1:10">
      <c r="C137" s="35"/>
    </row>
    <row r="138" spans="1:10">
      <c r="C138" s="35"/>
    </row>
    <row r="139" spans="1:10">
      <c r="C139" s="35"/>
    </row>
    <row r="140" spans="1:10" ht="14.25">
      <c r="B140" s="286" t="s">
        <v>706</v>
      </c>
      <c r="C140" s="287"/>
      <c r="D140" s="287"/>
      <c r="E140" s="287"/>
      <c r="F140" s="287"/>
      <c r="G140" s="287"/>
      <c r="H140" s="287"/>
      <c r="I140" s="287"/>
      <c r="J140" s="287"/>
    </row>
    <row r="141" spans="1:10" ht="51">
      <c r="B141" s="28"/>
      <c r="C141" s="28" t="s">
        <v>678</v>
      </c>
      <c r="D141" s="28"/>
      <c r="E141" s="28"/>
      <c r="F141" s="28"/>
      <c r="G141" s="28"/>
      <c r="H141" s="28"/>
      <c r="I141" s="28"/>
      <c r="J141" s="28"/>
    </row>
    <row r="142" spans="1:10">
      <c r="C142" s="35" t="s">
        <v>679</v>
      </c>
    </row>
  </sheetData>
  <mergeCells count="11">
    <mergeCell ref="B9:C9"/>
    <mergeCell ref="B10:C10"/>
    <mergeCell ref="B11:C11"/>
    <mergeCell ref="B13:J13"/>
    <mergeCell ref="B140:J140"/>
    <mergeCell ref="B8:C8"/>
    <mergeCell ref="B2:E2"/>
    <mergeCell ref="B3:C3"/>
    <mergeCell ref="B4:C4"/>
    <mergeCell ref="B6:C6"/>
    <mergeCell ref="B7:C7"/>
  </mergeCells>
  <dataValidations count="1">
    <dataValidation type="list" showInputMessage="1" showErrorMessage="1" sqref="D33:D135">
      <formula1>"TODO NATIVO, NATIVO Y DESARROLLO, DESARROLLO TOTAL"</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tabColor rgb="FF00B050"/>
  </sheetPr>
  <dimension ref="B1:J95"/>
  <sheetViews>
    <sheetView topLeftCell="A8" zoomScale="89" zoomScaleNormal="89" workbookViewId="0">
      <selection activeCell="C33" sqref="C33:C88"/>
    </sheetView>
  </sheetViews>
  <sheetFormatPr defaultColWidth="9.140625" defaultRowHeight="12.75"/>
  <cols>
    <col min="1" max="1" width="1.7109375" customWidth="1"/>
    <col min="2" max="2" width="9.140625" style="32"/>
    <col min="3" max="3" width="48.7109375" style="35" customWidth="1"/>
    <col min="4" max="4" width="21.140625" bestFit="1" customWidth="1"/>
    <col min="5" max="5" width="13.42578125" customWidth="1"/>
    <col min="6" max="6" width="11.140625" customWidth="1"/>
    <col min="7" max="7" width="13" customWidth="1"/>
    <col min="8" max="8" width="11.28515625" customWidth="1"/>
    <col min="9" max="9" width="13.28515625" customWidth="1"/>
    <col min="10" max="10" width="10.28515625" style="33" customWidth="1"/>
  </cols>
  <sheetData>
    <row r="1" spans="2:10" ht="13.5" thickBot="1"/>
    <row r="2" spans="2:10" ht="15" thickBot="1">
      <c r="B2" s="281" t="s">
        <v>718</v>
      </c>
      <c r="C2" s="282"/>
      <c r="D2" s="282"/>
      <c r="E2" s="283"/>
      <c r="F2" s="82"/>
    </row>
    <row r="3" spans="2:10" ht="25.5">
      <c r="B3" s="277" t="s">
        <v>688</v>
      </c>
      <c r="C3" s="278"/>
      <c r="D3" s="66" t="s">
        <v>690</v>
      </c>
      <c r="E3" s="67" t="s">
        <v>691</v>
      </c>
    </row>
    <row r="4" spans="2:10" ht="13.5" thickBot="1">
      <c r="B4" s="279" t="s">
        <v>701</v>
      </c>
      <c r="C4" s="280"/>
      <c r="D4" s="80" t="s">
        <v>700</v>
      </c>
      <c r="E4" s="81" t="s">
        <v>692</v>
      </c>
    </row>
    <row r="5" spans="2:10" ht="13.5" thickBot="1"/>
    <row r="6" spans="2:10" ht="38.25" customHeight="1">
      <c r="B6" s="284" t="s">
        <v>689</v>
      </c>
      <c r="C6" s="285"/>
      <c r="D6" s="153" t="s">
        <v>861</v>
      </c>
      <c r="E6" s="67" t="s">
        <v>862</v>
      </c>
      <c r="F6" s="153" t="s">
        <v>860</v>
      </c>
      <c r="G6" s="67" t="s">
        <v>862</v>
      </c>
      <c r="H6" s="67" t="s">
        <v>694</v>
      </c>
    </row>
    <row r="7" spans="2:10" ht="12.75" customHeight="1">
      <c r="B7" s="288" t="s">
        <v>693</v>
      </c>
      <c r="C7" s="289"/>
      <c r="D7" s="154" t="s">
        <v>695</v>
      </c>
      <c r="E7" s="155"/>
      <c r="F7" s="154" t="s">
        <v>695</v>
      </c>
      <c r="G7" s="155"/>
      <c r="H7" s="160" t="s">
        <v>692</v>
      </c>
    </row>
    <row r="8" spans="2:10" ht="12.75" customHeight="1">
      <c r="B8" s="288" t="s">
        <v>696</v>
      </c>
      <c r="C8" s="289"/>
      <c r="D8" s="154" t="s">
        <v>695</v>
      </c>
      <c r="E8" s="155"/>
      <c r="F8" s="154" t="s">
        <v>695</v>
      </c>
      <c r="G8" s="155"/>
      <c r="H8" s="160" t="s">
        <v>692</v>
      </c>
    </row>
    <row r="9" spans="2:10" ht="12.75" customHeight="1">
      <c r="B9" s="288" t="s">
        <v>697</v>
      </c>
      <c r="C9" s="289"/>
      <c r="D9" s="154" t="s">
        <v>695</v>
      </c>
      <c r="E9" s="155"/>
      <c r="F9" s="154" t="s">
        <v>695</v>
      </c>
      <c r="G9" s="155"/>
      <c r="H9" s="160" t="s">
        <v>692</v>
      </c>
    </row>
    <row r="10" spans="2:10" ht="12.75" customHeight="1">
      <c r="B10" s="288" t="s">
        <v>698</v>
      </c>
      <c r="C10" s="289"/>
      <c r="D10" s="154" t="s">
        <v>695</v>
      </c>
      <c r="E10" s="155"/>
      <c r="F10" s="154" t="s">
        <v>695</v>
      </c>
      <c r="G10" s="155"/>
      <c r="H10" s="160" t="s">
        <v>692</v>
      </c>
    </row>
    <row r="11" spans="2:10" ht="13.5" customHeight="1" thickBot="1">
      <c r="B11" s="290" t="s">
        <v>699</v>
      </c>
      <c r="C11" s="291"/>
      <c r="D11" s="156" t="s">
        <v>695</v>
      </c>
      <c r="E11" s="157"/>
      <c r="F11" s="156" t="s">
        <v>695</v>
      </c>
      <c r="G11" s="157"/>
      <c r="H11" s="161" t="s">
        <v>692</v>
      </c>
    </row>
    <row r="13" spans="2:10" ht="14.25">
      <c r="B13" s="286" t="s">
        <v>704</v>
      </c>
      <c r="C13" s="287"/>
      <c r="D13" s="287"/>
      <c r="E13" s="287"/>
      <c r="F13" s="287"/>
      <c r="G13" s="287"/>
      <c r="H13" s="287"/>
      <c r="I13" s="287"/>
      <c r="J13" s="287"/>
    </row>
    <row r="14" spans="2:10">
      <c r="B14" s="31" t="s">
        <v>257</v>
      </c>
      <c r="C14" s="28" t="s">
        <v>480</v>
      </c>
    </row>
    <row r="15" spans="2:10">
      <c r="B15" s="32" t="s">
        <v>103</v>
      </c>
      <c r="C15" s="35" t="s">
        <v>335</v>
      </c>
    </row>
    <row r="16" spans="2:10">
      <c r="B16" s="32" t="s">
        <v>104</v>
      </c>
      <c r="C16" s="35" t="s">
        <v>336</v>
      </c>
    </row>
    <row r="17" spans="2:6">
      <c r="B17" s="32" t="s">
        <v>105</v>
      </c>
      <c r="C17" s="35" t="s">
        <v>337</v>
      </c>
    </row>
    <row r="18" spans="2:6">
      <c r="B18" s="32" t="s">
        <v>106</v>
      </c>
      <c r="C18" s="35" t="s">
        <v>338</v>
      </c>
    </row>
    <row r="19" spans="2:6">
      <c r="B19" s="32" t="s">
        <v>107</v>
      </c>
      <c r="C19" s="35" t="s">
        <v>339</v>
      </c>
    </row>
    <row r="20" spans="2:6" hidden="1">
      <c r="C20" s="199"/>
    </row>
    <row r="21" spans="2:6" hidden="1">
      <c r="C21" s="199"/>
    </row>
    <row r="22" spans="2:6" hidden="1">
      <c r="C22" s="199"/>
    </row>
    <row r="23" spans="2:6" hidden="1">
      <c r="C23" s="199"/>
    </row>
    <row r="24" spans="2:6" hidden="1">
      <c r="C24" s="199"/>
    </row>
    <row r="25" spans="2:6" hidden="1">
      <c r="C25" s="199"/>
    </row>
    <row r="26" spans="2:6" hidden="1">
      <c r="C26" s="199"/>
    </row>
    <row r="27" spans="2:6" hidden="1">
      <c r="C27" s="199"/>
    </row>
    <row r="28" spans="2:6" hidden="1">
      <c r="C28" s="199"/>
    </row>
    <row r="29" spans="2:6" hidden="1">
      <c r="C29" s="199"/>
    </row>
    <row r="30" spans="2:6" ht="13.5" thickBot="1">
      <c r="B30" s="224">
        <f>COUNT(B32:B300)</f>
        <v>56</v>
      </c>
    </row>
    <row r="31" spans="2:6" ht="25.5">
      <c r="B31" s="164" t="s">
        <v>97</v>
      </c>
      <c r="C31" s="165" t="s">
        <v>96</v>
      </c>
      <c r="D31" s="105" t="s">
        <v>917</v>
      </c>
      <c r="E31" s="106" t="s">
        <v>98</v>
      </c>
      <c r="F31" s="107" t="s">
        <v>709</v>
      </c>
    </row>
    <row r="32" spans="2:6">
      <c r="B32" s="166" t="s">
        <v>257</v>
      </c>
      <c r="C32" s="159" t="s">
        <v>334</v>
      </c>
      <c r="D32" s="167"/>
      <c r="E32" s="159"/>
      <c r="F32" s="168"/>
    </row>
    <row r="33" spans="2:6" ht="25.5">
      <c r="B33" s="169">
        <v>1</v>
      </c>
      <c r="C33" s="311" t="s">
        <v>306</v>
      </c>
      <c r="D33" s="196" t="s">
        <v>918</v>
      </c>
      <c r="E33" s="147"/>
      <c r="F33" s="163" t="s">
        <v>103</v>
      </c>
    </row>
    <row r="34" spans="2:6" ht="51">
      <c r="B34" s="169">
        <v>2</v>
      </c>
      <c r="C34" s="312" t="s">
        <v>772</v>
      </c>
      <c r="D34" s="196" t="s">
        <v>918</v>
      </c>
      <c r="E34" s="147"/>
      <c r="F34" s="163" t="s">
        <v>103</v>
      </c>
    </row>
    <row r="35" spans="2:6" ht="51">
      <c r="B35" s="169">
        <v>3</v>
      </c>
      <c r="C35" s="312" t="s">
        <v>768</v>
      </c>
      <c r="D35" s="196" t="s">
        <v>918</v>
      </c>
      <c r="E35" s="147"/>
      <c r="F35" s="163" t="s">
        <v>103</v>
      </c>
    </row>
    <row r="36" spans="2:6" ht="38.25">
      <c r="B36" s="169">
        <v>4</v>
      </c>
      <c r="C36" s="312" t="s">
        <v>771</v>
      </c>
      <c r="D36" s="196" t="s">
        <v>918</v>
      </c>
      <c r="E36" s="147"/>
      <c r="F36" s="163" t="s">
        <v>103</v>
      </c>
    </row>
    <row r="37" spans="2:6" ht="63.75">
      <c r="B37" s="169">
        <v>5</v>
      </c>
      <c r="C37" s="312" t="s">
        <v>781</v>
      </c>
      <c r="D37" s="196" t="s">
        <v>918</v>
      </c>
      <c r="E37" s="147"/>
      <c r="F37" s="163"/>
    </row>
    <row r="38" spans="2:6" ht="51">
      <c r="B38" s="169">
        <v>6</v>
      </c>
      <c r="C38" s="312" t="s">
        <v>773</v>
      </c>
      <c r="D38" s="196" t="s">
        <v>918</v>
      </c>
      <c r="E38" s="147"/>
      <c r="F38" s="163" t="s">
        <v>104</v>
      </c>
    </row>
    <row r="39" spans="2:6" ht="38.25">
      <c r="B39" s="169">
        <v>7</v>
      </c>
      <c r="C39" s="313" t="s">
        <v>774</v>
      </c>
      <c r="D39" s="196" t="s">
        <v>918</v>
      </c>
      <c r="E39" s="147"/>
      <c r="F39" s="163" t="s">
        <v>103</v>
      </c>
    </row>
    <row r="40" spans="2:6" ht="102">
      <c r="B40" s="169">
        <v>8</v>
      </c>
      <c r="C40" s="313" t="s">
        <v>782</v>
      </c>
      <c r="D40" s="196" t="s">
        <v>918</v>
      </c>
      <c r="E40" s="147"/>
      <c r="F40" s="163" t="s">
        <v>103</v>
      </c>
    </row>
    <row r="41" spans="2:6" ht="132.75" customHeight="1">
      <c r="B41" s="169">
        <v>9</v>
      </c>
      <c r="C41" s="313" t="s">
        <v>775</v>
      </c>
      <c r="D41" s="196" t="s">
        <v>918</v>
      </c>
      <c r="E41" s="147"/>
      <c r="F41" s="163" t="s">
        <v>103</v>
      </c>
    </row>
    <row r="42" spans="2:6" ht="51">
      <c r="B42" s="169">
        <v>10</v>
      </c>
      <c r="C42" s="313" t="s">
        <v>776</v>
      </c>
      <c r="D42" s="196" t="s">
        <v>918</v>
      </c>
      <c r="E42" s="147"/>
      <c r="F42" s="163" t="s">
        <v>103</v>
      </c>
    </row>
    <row r="43" spans="2:6" ht="38.25">
      <c r="B43" s="169">
        <v>11</v>
      </c>
      <c r="C43" s="313" t="s">
        <v>777</v>
      </c>
      <c r="D43" s="196" t="s">
        <v>918</v>
      </c>
      <c r="E43" s="147"/>
      <c r="F43" s="163"/>
    </row>
    <row r="44" spans="2:6" ht="38.25">
      <c r="B44" s="169">
        <v>12</v>
      </c>
      <c r="C44" s="313" t="s">
        <v>778</v>
      </c>
      <c r="D44" s="196" t="s">
        <v>918</v>
      </c>
      <c r="E44" s="147"/>
      <c r="F44" s="163" t="s">
        <v>103</v>
      </c>
    </row>
    <row r="45" spans="2:6" ht="63.75">
      <c r="B45" s="169">
        <v>13</v>
      </c>
      <c r="C45" s="313" t="s">
        <v>779</v>
      </c>
      <c r="D45" s="196" t="s">
        <v>918</v>
      </c>
      <c r="E45" s="147"/>
      <c r="F45" s="163"/>
    </row>
    <row r="46" spans="2:6" ht="63.75">
      <c r="B46" s="169">
        <v>14</v>
      </c>
      <c r="C46" s="311" t="s">
        <v>340</v>
      </c>
      <c r="D46" s="196" t="s">
        <v>918</v>
      </c>
      <c r="E46" s="147"/>
      <c r="F46" s="163" t="s">
        <v>103</v>
      </c>
    </row>
    <row r="47" spans="2:6" ht="63.75">
      <c r="B47" s="169">
        <v>15</v>
      </c>
      <c r="C47" s="313" t="s">
        <v>780</v>
      </c>
      <c r="D47" s="196" t="s">
        <v>918</v>
      </c>
      <c r="E47" s="147"/>
      <c r="F47" s="163" t="s">
        <v>103</v>
      </c>
    </row>
    <row r="48" spans="2:6" ht="89.25">
      <c r="B48" s="169">
        <v>16</v>
      </c>
      <c r="C48" s="313" t="s">
        <v>783</v>
      </c>
      <c r="D48" s="196" t="s">
        <v>918</v>
      </c>
      <c r="E48" s="147"/>
      <c r="F48" s="163" t="s">
        <v>103</v>
      </c>
    </row>
    <row r="49" spans="2:6" ht="89.25">
      <c r="B49" s="169">
        <v>17</v>
      </c>
      <c r="C49" s="313" t="s">
        <v>784</v>
      </c>
      <c r="D49" s="196" t="s">
        <v>918</v>
      </c>
      <c r="E49" s="147"/>
      <c r="F49" s="163" t="s">
        <v>103</v>
      </c>
    </row>
    <row r="50" spans="2:6" ht="76.5">
      <c r="B50" s="169">
        <v>18</v>
      </c>
      <c r="C50" s="313" t="s">
        <v>785</v>
      </c>
      <c r="D50" s="196" t="s">
        <v>918</v>
      </c>
      <c r="E50" s="147"/>
      <c r="F50" s="163" t="s">
        <v>103</v>
      </c>
    </row>
    <row r="51" spans="2:6" ht="70.5" customHeight="1">
      <c r="B51" s="169">
        <v>19</v>
      </c>
      <c r="C51" s="311" t="s">
        <v>307</v>
      </c>
      <c r="D51" s="196" t="s">
        <v>918</v>
      </c>
      <c r="E51" s="147"/>
      <c r="F51" s="163" t="s">
        <v>103</v>
      </c>
    </row>
    <row r="52" spans="2:6" ht="63.75">
      <c r="B52" s="169">
        <v>20</v>
      </c>
      <c r="C52" s="311" t="s">
        <v>308</v>
      </c>
      <c r="D52" s="196" t="s">
        <v>918</v>
      </c>
      <c r="E52" s="147"/>
      <c r="F52" s="163" t="s">
        <v>103</v>
      </c>
    </row>
    <row r="53" spans="2:6" ht="38.25">
      <c r="B53" s="169">
        <v>21</v>
      </c>
      <c r="C53" s="311" t="s">
        <v>309</v>
      </c>
      <c r="D53" s="196" t="s">
        <v>918</v>
      </c>
      <c r="E53" s="147"/>
      <c r="F53" s="163" t="s">
        <v>104</v>
      </c>
    </row>
    <row r="54" spans="2:6" ht="63.75">
      <c r="B54" s="169">
        <v>22</v>
      </c>
      <c r="C54" s="313" t="s">
        <v>786</v>
      </c>
      <c r="D54" s="196" t="s">
        <v>918</v>
      </c>
      <c r="E54" s="147"/>
      <c r="F54" s="163" t="s">
        <v>104</v>
      </c>
    </row>
    <row r="55" spans="2:6" ht="38.25" customHeight="1">
      <c r="B55" s="169">
        <v>23</v>
      </c>
      <c r="C55" s="311" t="s">
        <v>310</v>
      </c>
      <c r="D55" s="196" t="s">
        <v>918</v>
      </c>
      <c r="E55" s="147"/>
      <c r="F55" s="163" t="s">
        <v>104</v>
      </c>
    </row>
    <row r="56" spans="2:6" ht="42.75" customHeight="1">
      <c r="B56" s="169">
        <v>24</v>
      </c>
      <c r="C56" s="311" t="s">
        <v>311</v>
      </c>
      <c r="D56" s="196" t="s">
        <v>918</v>
      </c>
      <c r="E56" s="147"/>
      <c r="F56" s="163" t="s">
        <v>104</v>
      </c>
    </row>
    <row r="57" spans="2:6" ht="63.75">
      <c r="B57" s="169">
        <v>25</v>
      </c>
      <c r="C57" s="311" t="s">
        <v>312</v>
      </c>
      <c r="D57" s="196" t="s">
        <v>918</v>
      </c>
      <c r="E57" s="147"/>
      <c r="F57" s="163" t="s">
        <v>104</v>
      </c>
    </row>
    <row r="58" spans="2:6" ht="38.25">
      <c r="B58" s="169">
        <v>26</v>
      </c>
      <c r="C58" s="311" t="s">
        <v>313</v>
      </c>
      <c r="D58" s="196" t="s">
        <v>918</v>
      </c>
      <c r="E58" s="147"/>
      <c r="F58" s="163" t="s">
        <v>104</v>
      </c>
    </row>
    <row r="59" spans="2:6" ht="51">
      <c r="B59" s="169">
        <v>27</v>
      </c>
      <c r="C59" s="311" t="s">
        <v>314</v>
      </c>
      <c r="D59" s="196" t="s">
        <v>918</v>
      </c>
      <c r="E59" s="147"/>
      <c r="F59" s="163" t="s">
        <v>104</v>
      </c>
    </row>
    <row r="60" spans="2:6" ht="33" customHeight="1">
      <c r="B60" s="169">
        <v>28</v>
      </c>
      <c r="C60" s="311" t="s">
        <v>315</v>
      </c>
      <c r="D60" s="196" t="s">
        <v>918</v>
      </c>
      <c r="E60" s="147"/>
      <c r="F60" s="163" t="s">
        <v>104</v>
      </c>
    </row>
    <row r="61" spans="2:6" ht="51">
      <c r="B61" s="169">
        <v>29</v>
      </c>
      <c r="C61" s="311" t="s">
        <v>602</v>
      </c>
      <c r="D61" s="196" t="s">
        <v>918</v>
      </c>
      <c r="E61" s="147"/>
      <c r="F61" s="163" t="s">
        <v>104</v>
      </c>
    </row>
    <row r="62" spans="2:6" ht="38.25">
      <c r="B62" s="169">
        <v>30</v>
      </c>
      <c r="C62" s="311" t="s">
        <v>316</v>
      </c>
      <c r="D62" s="196" t="s">
        <v>918</v>
      </c>
      <c r="E62" s="147"/>
      <c r="F62" s="163" t="s">
        <v>104</v>
      </c>
    </row>
    <row r="63" spans="2:6" ht="102">
      <c r="B63" s="169">
        <v>31</v>
      </c>
      <c r="C63" s="311" t="s">
        <v>341</v>
      </c>
      <c r="D63" s="196" t="s">
        <v>918</v>
      </c>
      <c r="E63" s="147"/>
      <c r="F63" s="163" t="s">
        <v>105</v>
      </c>
    </row>
    <row r="64" spans="2:6" ht="38.25">
      <c r="B64" s="169">
        <v>32</v>
      </c>
      <c r="C64" s="311" t="s">
        <v>317</v>
      </c>
      <c r="D64" s="196" t="s">
        <v>918</v>
      </c>
      <c r="E64" s="147"/>
      <c r="F64" s="163" t="s">
        <v>105</v>
      </c>
    </row>
    <row r="65" spans="2:6" ht="63.75">
      <c r="B65" s="169">
        <v>33</v>
      </c>
      <c r="C65" s="311" t="s">
        <v>342</v>
      </c>
      <c r="D65" s="196" t="s">
        <v>918</v>
      </c>
      <c r="E65" s="147"/>
      <c r="F65" s="163" t="s">
        <v>105</v>
      </c>
    </row>
    <row r="66" spans="2:6" ht="63.75" customHeight="1">
      <c r="B66" s="169">
        <v>34</v>
      </c>
      <c r="C66" s="311" t="s">
        <v>603</v>
      </c>
      <c r="D66" s="196" t="s">
        <v>918</v>
      </c>
      <c r="E66" s="147"/>
      <c r="F66" s="163" t="s">
        <v>105</v>
      </c>
    </row>
    <row r="67" spans="2:6" ht="38.25">
      <c r="B67" s="169">
        <v>35</v>
      </c>
      <c r="C67" s="311" t="s">
        <v>318</v>
      </c>
      <c r="D67" s="196" t="s">
        <v>918</v>
      </c>
      <c r="E67" s="147"/>
      <c r="F67" s="163" t="s">
        <v>106</v>
      </c>
    </row>
    <row r="68" spans="2:6" ht="89.25">
      <c r="B68" s="169">
        <v>36</v>
      </c>
      <c r="C68" s="311" t="s">
        <v>319</v>
      </c>
      <c r="D68" s="196" t="s">
        <v>918</v>
      </c>
      <c r="E68" s="147"/>
      <c r="F68" s="163" t="s">
        <v>106</v>
      </c>
    </row>
    <row r="69" spans="2:6" ht="51">
      <c r="B69" s="169">
        <v>37</v>
      </c>
      <c r="C69" s="311" t="s">
        <v>320</v>
      </c>
      <c r="D69" s="196" t="s">
        <v>918</v>
      </c>
      <c r="E69" s="147"/>
      <c r="F69" s="163" t="s">
        <v>106</v>
      </c>
    </row>
    <row r="70" spans="2:6" ht="25.5">
      <c r="B70" s="169">
        <v>38</v>
      </c>
      <c r="C70" s="311" t="s">
        <v>321</v>
      </c>
      <c r="D70" s="196" t="s">
        <v>918</v>
      </c>
      <c r="E70" s="147"/>
      <c r="F70" s="163" t="s">
        <v>106</v>
      </c>
    </row>
    <row r="71" spans="2:6" ht="63.75">
      <c r="B71" s="169">
        <v>39</v>
      </c>
      <c r="C71" s="311" t="s">
        <v>322</v>
      </c>
      <c r="D71" s="196" t="s">
        <v>918</v>
      </c>
      <c r="E71" s="147"/>
      <c r="F71" s="163" t="s">
        <v>106</v>
      </c>
    </row>
    <row r="72" spans="2:6" ht="65.25" customHeight="1">
      <c r="B72" s="169">
        <v>40</v>
      </c>
      <c r="C72" s="313" t="s">
        <v>787</v>
      </c>
      <c r="D72" s="196" t="s">
        <v>918</v>
      </c>
      <c r="E72" s="147"/>
      <c r="F72" s="163" t="s">
        <v>106</v>
      </c>
    </row>
    <row r="73" spans="2:6" ht="40.5" customHeight="1">
      <c r="B73" s="169">
        <v>41</v>
      </c>
      <c r="C73" s="311" t="s">
        <v>323</v>
      </c>
      <c r="D73" s="196" t="s">
        <v>918</v>
      </c>
      <c r="E73" s="147"/>
      <c r="F73" s="163" t="s">
        <v>106</v>
      </c>
    </row>
    <row r="74" spans="2:6" ht="51">
      <c r="B74" s="169">
        <v>42</v>
      </c>
      <c r="C74" s="313" t="s">
        <v>788</v>
      </c>
      <c r="D74" s="196" t="s">
        <v>918</v>
      </c>
      <c r="E74" s="147"/>
      <c r="F74" s="163" t="s">
        <v>106</v>
      </c>
    </row>
    <row r="75" spans="2:6" ht="66.75" customHeight="1">
      <c r="B75" s="169">
        <v>43</v>
      </c>
      <c r="C75" s="311" t="s">
        <v>324</v>
      </c>
      <c r="D75" s="196" t="s">
        <v>918</v>
      </c>
      <c r="E75" s="147"/>
      <c r="F75" s="163" t="s">
        <v>106</v>
      </c>
    </row>
    <row r="76" spans="2:6" ht="63.75">
      <c r="B76" s="169">
        <v>44</v>
      </c>
      <c r="C76" s="313" t="s">
        <v>325</v>
      </c>
      <c r="D76" s="196" t="s">
        <v>918</v>
      </c>
      <c r="E76" s="147"/>
      <c r="F76" s="163" t="s">
        <v>106</v>
      </c>
    </row>
    <row r="77" spans="2:6" ht="78.75" customHeight="1">
      <c r="B77" s="169">
        <v>45</v>
      </c>
      <c r="C77" s="311" t="s">
        <v>326</v>
      </c>
      <c r="D77" s="196" t="s">
        <v>918</v>
      </c>
      <c r="E77" s="147"/>
      <c r="F77" s="163" t="s">
        <v>106</v>
      </c>
    </row>
    <row r="78" spans="2:6" ht="51">
      <c r="B78" s="169">
        <v>46</v>
      </c>
      <c r="C78" s="311" t="s">
        <v>327</v>
      </c>
      <c r="D78" s="196" t="s">
        <v>918</v>
      </c>
      <c r="E78" s="147"/>
      <c r="F78" s="163" t="s">
        <v>106</v>
      </c>
    </row>
    <row r="79" spans="2:6" ht="25.5">
      <c r="B79" s="169">
        <v>47</v>
      </c>
      <c r="C79" s="311" t="s">
        <v>328</v>
      </c>
      <c r="D79" s="196" t="s">
        <v>918</v>
      </c>
      <c r="E79" s="147"/>
      <c r="F79" s="163" t="s">
        <v>106</v>
      </c>
    </row>
    <row r="80" spans="2:6" ht="25.5">
      <c r="B80" s="169">
        <v>48</v>
      </c>
      <c r="C80" s="311" t="s">
        <v>329</v>
      </c>
      <c r="D80" s="196" t="s">
        <v>918</v>
      </c>
      <c r="E80" s="147"/>
      <c r="F80" s="163" t="s">
        <v>106</v>
      </c>
    </row>
    <row r="81" spans="2:10" ht="50.25" customHeight="1">
      <c r="B81" s="169">
        <v>49</v>
      </c>
      <c r="C81" s="311" t="s">
        <v>330</v>
      </c>
      <c r="D81" s="196" t="s">
        <v>918</v>
      </c>
      <c r="E81" s="147"/>
      <c r="F81" s="163" t="s">
        <v>106</v>
      </c>
    </row>
    <row r="82" spans="2:10" ht="25.5">
      <c r="B82" s="169">
        <v>50</v>
      </c>
      <c r="C82" s="311" t="s">
        <v>331</v>
      </c>
      <c r="D82" s="196" t="s">
        <v>918</v>
      </c>
      <c r="E82" s="147"/>
      <c r="F82" s="163" t="s">
        <v>107</v>
      </c>
    </row>
    <row r="83" spans="2:10" ht="38.25">
      <c r="B83" s="169">
        <v>51</v>
      </c>
      <c r="C83" s="311" t="s">
        <v>332</v>
      </c>
      <c r="D83" s="196" t="s">
        <v>918</v>
      </c>
      <c r="E83" s="147"/>
      <c r="F83" s="163" t="s">
        <v>107</v>
      </c>
    </row>
    <row r="84" spans="2:10" ht="25.5">
      <c r="B84" s="169">
        <v>52</v>
      </c>
      <c r="C84" s="311" t="s">
        <v>583</v>
      </c>
      <c r="D84" s="196" t="s">
        <v>918</v>
      </c>
      <c r="E84" s="147"/>
      <c r="F84" s="163" t="s">
        <v>107</v>
      </c>
    </row>
    <row r="85" spans="2:10" ht="51">
      <c r="B85" s="169">
        <v>53</v>
      </c>
      <c r="C85" s="311" t="s">
        <v>333</v>
      </c>
      <c r="D85" s="196" t="s">
        <v>918</v>
      </c>
      <c r="E85" s="147"/>
      <c r="F85" s="163" t="s">
        <v>107</v>
      </c>
    </row>
    <row r="86" spans="2:10" ht="38.25">
      <c r="B86" s="169">
        <v>54</v>
      </c>
      <c r="C86" s="311" t="s">
        <v>589</v>
      </c>
      <c r="D86" s="196" t="s">
        <v>918</v>
      </c>
      <c r="E86" s="147"/>
      <c r="F86" s="163" t="s">
        <v>107</v>
      </c>
    </row>
    <row r="87" spans="2:10" ht="51">
      <c r="B87" s="169">
        <v>55</v>
      </c>
      <c r="C87" s="313" t="s">
        <v>758</v>
      </c>
      <c r="D87" s="196" t="s">
        <v>918</v>
      </c>
      <c r="E87" s="147"/>
      <c r="F87" s="163" t="s">
        <v>104</v>
      </c>
    </row>
    <row r="88" spans="2:10" ht="38.25">
      <c r="B88" s="169">
        <v>56</v>
      </c>
      <c r="C88" s="310" t="s">
        <v>840</v>
      </c>
      <c r="D88" s="196" t="s">
        <v>918</v>
      </c>
      <c r="E88" s="147"/>
      <c r="F88" s="163" t="s">
        <v>895</v>
      </c>
    </row>
    <row r="89" spans="2:10" ht="13.5" thickBot="1">
      <c r="B89" s="179"/>
      <c r="C89" s="180"/>
      <c r="D89" s="181"/>
      <c r="E89" s="181"/>
      <c r="F89" s="182"/>
    </row>
    <row r="93" spans="2:10" ht="14.25">
      <c r="B93" s="286" t="s">
        <v>706</v>
      </c>
      <c r="C93" s="287"/>
      <c r="D93" s="287"/>
      <c r="E93" s="287"/>
      <c r="F93" s="287"/>
      <c r="G93" s="287"/>
      <c r="H93" s="287"/>
      <c r="I93" s="287"/>
      <c r="J93" s="287"/>
    </row>
    <row r="94" spans="2:10" ht="51">
      <c r="B94" s="28"/>
      <c r="C94" s="28" t="s">
        <v>678</v>
      </c>
      <c r="D94" s="28"/>
      <c r="E94" s="28"/>
      <c r="F94" s="28"/>
      <c r="G94" s="28"/>
      <c r="H94" s="28"/>
      <c r="I94" s="28"/>
      <c r="J94" s="28"/>
    </row>
    <row r="95" spans="2:10">
      <c r="C95" s="35" t="s">
        <v>679</v>
      </c>
    </row>
  </sheetData>
  <mergeCells count="11">
    <mergeCell ref="B9:C9"/>
    <mergeCell ref="B10:C10"/>
    <mergeCell ref="B11:C11"/>
    <mergeCell ref="B13:J13"/>
    <mergeCell ref="B93:J93"/>
    <mergeCell ref="B8:C8"/>
    <mergeCell ref="B2:E2"/>
    <mergeCell ref="B3:C3"/>
    <mergeCell ref="B4:C4"/>
    <mergeCell ref="B6:C6"/>
    <mergeCell ref="B7:C7"/>
  </mergeCells>
  <dataValidations count="1">
    <dataValidation type="list" showInputMessage="1" showErrorMessage="1" sqref="D33:D88">
      <formula1>"TODO NATIVO, NATIVO Y DESARROLLO, DESARROLLO TOTAL"</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00B050"/>
  </sheetPr>
  <dimension ref="B1:J80"/>
  <sheetViews>
    <sheetView topLeftCell="A66" zoomScale="90" zoomScaleNormal="90" workbookViewId="0">
      <selection activeCell="C74" sqref="C74"/>
    </sheetView>
  </sheetViews>
  <sheetFormatPr defaultColWidth="9.140625" defaultRowHeight="12.75"/>
  <cols>
    <col min="1" max="1" width="1.85546875" customWidth="1"/>
    <col min="2" max="2" width="9.140625" style="32"/>
    <col min="3" max="3" width="48.28515625" style="32" customWidth="1"/>
    <col min="4" max="4" width="21.28515625" customWidth="1"/>
    <col min="5" max="5" width="13.140625" customWidth="1"/>
    <col min="6" max="6" width="11.140625" customWidth="1"/>
    <col min="7" max="7" width="10.28515625" bestFit="1" customWidth="1"/>
    <col min="8" max="8" width="10.85546875" customWidth="1"/>
    <col min="9" max="9" width="12.5703125" customWidth="1"/>
    <col min="10" max="10" width="9.140625" style="33" bestFit="1" customWidth="1"/>
  </cols>
  <sheetData>
    <row r="1" spans="2:10" ht="13.5" thickBot="1">
      <c r="C1" s="35"/>
    </row>
    <row r="2" spans="2:10" ht="15" thickBot="1">
      <c r="B2" s="281" t="s">
        <v>718</v>
      </c>
      <c r="C2" s="282"/>
      <c r="D2" s="282"/>
      <c r="E2" s="283"/>
      <c r="F2" s="82"/>
    </row>
    <row r="3" spans="2:10" ht="25.5">
      <c r="B3" s="277" t="s">
        <v>688</v>
      </c>
      <c r="C3" s="278"/>
      <c r="D3" s="66" t="s">
        <v>690</v>
      </c>
      <c r="E3" s="67" t="s">
        <v>691</v>
      </c>
    </row>
    <row r="4" spans="2:10" ht="13.5" thickBot="1">
      <c r="B4" s="279" t="s">
        <v>701</v>
      </c>
      <c r="C4" s="280"/>
      <c r="D4" s="80" t="s">
        <v>700</v>
      </c>
      <c r="E4" s="81" t="s">
        <v>692</v>
      </c>
    </row>
    <row r="5" spans="2:10" ht="13.5" thickBot="1">
      <c r="C5" s="35"/>
    </row>
    <row r="6" spans="2:10" ht="38.25" customHeight="1">
      <c r="B6" s="284" t="s">
        <v>689</v>
      </c>
      <c r="C6" s="285"/>
      <c r="D6" s="153" t="s">
        <v>861</v>
      </c>
      <c r="E6" s="67" t="s">
        <v>862</v>
      </c>
      <c r="F6" s="153" t="s">
        <v>860</v>
      </c>
      <c r="G6" s="67" t="s">
        <v>862</v>
      </c>
      <c r="H6" s="67" t="s">
        <v>694</v>
      </c>
    </row>
    <row r="7" spans="2:10" ht="12.75" customHeight="1">
      <c r="B7" s="288" t="s">
        <v>693</v>
      </c>
      <c r="C7" s="289"/>
      <c r="D7" s="154" t="s">
        <v>695</v>
      </c>
      <c r="E7" s="155"/>
      <c r="F7" s="154" t="s">
        <v>695</v>
      </c>
      <c r="G7" s="155"/>
      <c r="H7" s="160" t="s">
        <v>692</v>
      </c>
    </row>
    <row r="8" spans="2:10" ht="12.75" customHeight="1">
      <c r="B8" s="288" t="s">
        <v>696</v>
      </c>
      <c r="C8" s="289"/>
      <c r="D8" s="154" t="s">
        <v>695</v>
      </c>
      <c r="E8" s="155"/>
      <c r="F8" s="154" t="s">
        <v>695</v>
      </c>
      <c r="G8" s="155"/>
      <c r="H8" s="160" t="s">
        <v>692</v>
      </c>
    </row>
    <row r="9" spans="2:10" ht="12.75" customHeight="1">
      <c r="B9" s="288" t="s">
        <v>697</v>
      </c>
      <c r="C9" s="289"/>
      <c r="D9" s="154" t="s">
        <v>695</v>
      </c>
      <c r="E9" s="155"/>
      <c r="F9" s="154" t="s">
        <v>695</v>
      </c>
      <c r="G9" s="155"/>
      <c r="H9" s="160" t="s">
        <v>692</v>
      </c>
    </row>
    <row r="10" spans="2:10" ht="12.75" customHeight="1">
      <c r="B10" s="288" t="s">
        <v>698</v>
      </c>
      <c r="C10" s="289"/>
      <c r="D10" s="154" t="s">
        <v>695</v>
      </c>
      <c r="E10" s="155"/>
      <c r="F10" s="154" t="s">
        <v>695</v>
      </c>
      <c r="G10" s="155"/>
      <c r="H10" s="160" t="s">
        <v>692</v>
      </c>
    </row>
    <row r="11" spans="2:10" ht="13.5" customHeight="1" thickBot="1">
      <c r="B11" s="290" t="s">
        <v>699</v>
      </c>
      <c r="C11" s="291"/>
      <c r="D11" s="156" t="s">
        <v>695</v>
      </c>
      <c r="E11" s="157"/>
      <c r="F11" s="156" t="s">
        <v>695</v>
      </c>
      <c r="G11" s="157"/>
      <c r="H11" s="161" t="s">
        <v>692</v>
      </c>
    </row>
    <row r="12" spans="2:10">
      <c r="C12" s="35"/>
    </row>
    <row r="13" spans="2:10" ht="14.25">
      <c r="B13" s="286" t="s">
        <v>704</v>
      </c>
      <c r="C13" s="287"/>
      <c r="D13" s="287"/>
      <c r="E13" s="287"/>
      <c r="F13" s="287"/>
      <c r="G13" s="287"/>
      <c r="H13" s="287"/>
      <c r="I13" s="287"/>
      <c r="J13" s="287"/>
    </row>
    <row r="14" spans="2:10">
      <c r="B14" s="31" t="s">
        <v>257</v>
      </c>
      <c r="C14" s="28" t="s">
        <v>125</v>
      </c>
    </row>
    <row r="15" spans="2:10">
      <c r="B15" s="32" t="s">
        <v>103</v>
      </c>
      <c r="C15" s="32" t="s">
        <v>249</v>
      </c>
    </row>
    <row r="16" spans="2:10">
      <c r="B16" s="32" t="s">
        <v>104</v>
      </c>
      <c r="C16" s="32" t="s">
        <v>250</v>
      </c>
    </row>
    <row r="17" spans="2:6">
      <c r="B17" s="32" t="s">
        <v>105</v>
      </c>
      <c r="C17" s="32" t="s">
        <v>251</v>
      </c>
    </row>
    <row r="18" spans="2:6">
      <c r="B18" s="32" t="s">
        <v>106</v>
      </c>
      <c r="C18" s="32" t="s">
        <v>252</v>
      </c>
    </row>
    <row r="19" spans="2:6">
      <c r="B19" s="32" t="s">
        <v>107</v>
      </c>
      <c r="C19" s="32" t="s">
        <v>253</v>
      </c>
    </row>
    <row r="20" spans="2:6">
      <c r="B20" s="32" t="s">
        <v>108</v>
      </c>
      <c r="C20" s="32" t="s">
        <v>254</v>
      </c>
    </row>
    <row r="21" spans="2:6">
      <c r="B21" s="32" t="s">
        <v>255</v>
      </c>
      <c r="C21" s="32" t="s">
        <v>256</v>
      </c>
    </row>
    <row r="22" spans="2:6" hidden="1"/>
    <row r="23" spans="2:6" hidden="1"/>
    <row r="24" spans="2:6" hidden="1"/>
    <row r="25" spans="2:6" hidden="1"/>
    <row r="26" spans="2:6" hidden="1"/>
    <row r="27" spans="2:6" hidden="1"/>
    <row r="28" spans="2:6" hidden="1"/>
    <row r="29" spans="2:6" hidden="1"/>
    <row r="30" spans="2:6" ht="13.5" thickBot="1">
      <c r="B30" s="224">
        <f>COUNT(B32:B299)</f>
        <v>42</v>
      </c>
    </row>
    <row r="31" spans="2:6" ht="25.5">
      <c r="B31" s="164" t="s">
        <v>97</v>
      </c>
      <c r="C31" s="165" t="s">
        <v>96</v>
      </c>
      <c r="D31" s="105" t="s">
        <v>917</v>
      </c>
      <c r="E31" s="106" t="s">
        <v>98</v>
      </c>
      <c r="F31" s="107" t="s">
        <v>709</v>
      </c>
    </row>
    <row r="32" spans="2:6">
      <c r="B32" s="166" t="s">
        <v>257</v>
      </c>
      <c r="C32" s="178" t="s">
        <v>125</v>
      </c>
      <c r="D32" s="167"/>
      <c r="E32" s="159"/>
      <c r="F32" s="168"/>
    </row>
    <row r="33" spans="2:6" ht="51">
      <c r="B33" s="169">
        <v>1</v>
      </c>
      <c r="C33" s="314" t="s">
        <v>219</v>
      </c>
      <c r="D33" s="196" t="s">
        <v>918</v>
      </c>
      <c r="E33" s="147"/>
      <c r="F33" s="163" t="s">
        <v>103</v>
      </c>
    </row>
    <row r="34" spans="2:6" ht="38.25">
      <c r="B34" s="169">
        <v>2</v>
      </c>
      <c r="C34" s="314" t="s">
        <v>220</v>
      </c>
      <c r="D34" s="196" t="s">
        <v>918</v>
      </c>
      <c r="E34" s="147"/>
      <c r="F34" s="163" t="s">
        <v>103</v>
      </c>
    </row>
    <row r="35" spans="2:6" ht="51">
      <c r="B35" s="169">
        <v>3</v>
      </c>
      <c r="C35" s="314" t="s">
        <v>221</v>
      </c>
      <c r="D35" s="196" t="s">
        <v>918</v>
      </c>
      <c r="E35" s="147"/>
      <c r="F35" s="163" t="s">
        <v>103</v>
      </c>
    </row>
    <row r="36" spans="2:6" ht="38.25">
      <c r="B36" s="169">
        <v>4</v>
      </c>
      <c r="C36" s="314" t="s">
        <v>222</v>
      </c>
      <c r="D36" s="196" t="s">
        <v>918</v>
      </c>
      <c r="E36" s="147"/>
      <c r="F36" s="163" t="s">
        <v>103</v>
      </c>
    </row>
    <row r="37" spans="2:6" ht="38.25">
      <c r="B37" s="169">
        <v>5</v>
      </c>
      <c r="C37" s="314" t="s">
        <v>223</v>
      </c>
      <c r="D37" s="196" t="s">
        <v>918</v>
      </c>
      <c r="E37" s="147"/>
      <c r="F37" s="163" t="s">
        <v>103</v>
      </c>
    </row>
    <row r="38" spans="2:6" ht="89.25">
      <c r="B38" s="169">
        <v>6</v>
      </c>
      <c r="C38" s="314" t="s">
        <v>680</v>
      </c>
      <c r="D38" s="196" t="s">
        <v>918</v>
      </c>
      <c r="E38" s="147"/>
      <c r="F38" s="163" t="s">
        <v>104</v>
      </c>
    </row>
    <row r="39" spans="2:6" ht="51">
      <c r="B39" s="169">
        <v>7</v>
      </c>
      <c r="C39" s="314" t="s">
        <v>258</v>
      </c>
      <c r="D39" s="196" t="s">
        <v>918</v>
      </c>
      <c r="E39" s="147"/>
      <c r="F39" s="163" t="s">
        <v>104</v>
      </c>
    </row>
    <row r="40" spans="2:6" ht="25.5">
      <c r="B40" s="169">
        <v>8</v>
      </c>
      <c r="C40" s="314" t="s">
        <v>224</v>
      </c>
      <c r="D40" s="196" t="s">
        <v>918</v>
      </c>
      <c r="E40" s="147"/>
      <c r="F40" s="163" t="s">
        <v>104</v>
      </c>
    </row>
    <row r="41" spans="2:6" ht="51">
      <c r="B41" s="169">
        <v>9</v>
      </c>
      <c r="C41" s="314" t="s">
        <v>225</v>
      </c>
      <c r="D41" s="196" t="s">
        <v>918</v>
      </c>
      <c r="E41" s="147"/>
      <c r="F41" s="163" t="s">
        <v>104</v>
      </c>
    </row>
    <row r="42" spans="2:6" ht="25.5">
      <c r="B42" s="169">
        <v>10</v>
      </c>
      <c r="C42" s="314" t="s">
        <v>226</v>
      </c>
      <c r="D42" s="196" t="s">
        <v>918</v>
      </c>
      <c r="E42" s="147"/>
      <c r="F42" s="163" t="s">
        <v>104</v>
      </c>
    </row>
    <row r="43" spans="2:6" ht="38.25">
      <c r="B43" s="169">
        <v>11</v>
      </c>
      <c r="C43" s="314" t="s">
        <v>227</v>
      </c>
      <c r="D43" s="196" t="s">
        <v>918</v>
      </c>
      <c r="E43" s="147"/>
      <c r="F43" s="163" t="s">
        <v>104</v>
      </c>
    </row>
    <row r="44" spans="2:6" ht="38.25">
      <c r="B44" s="169">
        <v>12</v>
      </c>
      <c r="C44" s="314" t="s">
        <v>259</v>
      </c>
      <c r="D44" s="196" t="s">
        <v>918</v>
      </c>
      <c r="E44" s="147"/>
      <c r="F44" s="163" t="s">
        <v>104</v>
      </c>
    </row>
    <row r="45" spans="2:6" ht="63.75">
      <c r="B45" s="169">
        <v>13</v>
      </c>
      <c r="C45" s="314" t="s">
        <v>260</v>
      </c>
      <c r="D45" s="196" t="s">
        <v>918</v>
      </c>
      <c r="E45" s="147"/>
      <c r="F45" s="163" t="s">
        <v>105</v>
      </c>
    </row>
    <row r="46" spans="2:6" ht="102">
      <c r="B46" s="169">
        <v>14</v>
      </c>
      <c r="C46" s="314" t="s">
        <v>228</v>
      </c>
      <c r="D46" s="196" t="s">
        <v>918</v>
      </c>
      <c r="E46" s="147"/>
      <c r="F46" s="163" t="s">
        <v>105</v>
      </c>
    </row>
    <row r="47" spans="2:6" ht="38.25">
      <c r="B47" s="169">
        <v>15</v>
      </c>
      <c r="C47" s="314" t="s">
        <v>229</v>
      </c>
      <c r="D47" s="196" t="s">
        <v>918</v>
      </c>
      <c r="E47" s="147"/>
      <c r="F47" s="163" t="s">
        <v>105</v>
      </c>
    </row>
    <row r="48" spans="2:6" ht="38.25">
      <c r="B48" s="169">
        <v>16</v>
      </c>
      <c r="C48" s="314" t="s">
        <v>230</v>
      </c>
      <c r="D48" s="196" t="s">
        <v>918</v>
      </c>
      <c r="E48" s="147"/>
      <c r="F48" s="163" t="s">
        <v>105</v>
      </c>
    </row>
    <row r="49" spans="2:6" ht="38.25">
      <c r="B49" s="169">
        <v>17</v>
      </c>
      <c r="C49" s="315" t="s">
        <v>231</v>
      </c>
      <c r="D49" s="196" t="s">
        <v>918</v>
      </c>
      <c r="E49" s="147"/>
      <c r="F49" s="163" t="s">
        <v>105</v>
      </c>
    </row>
    <row r="50" spans="2:6" ht="165.75">
      <c r="B50" s="169">
        <v>18</v>
      </c>
      <c r="C50" s="314" t="s">
        <v>232</v>
      </c>
      <c r="D50" s="196" t="s">
        <v>918</v>
      </c>
      <c r="E50" s="147"/>
      <c r="F50" s="163" t="s">
        <v>106</v>
      </c>
    </row>
    <row r="51" spans="2:6" ht="25.5">
      <c r="B51" s="169">
        <v>19</v>
      </c>
      <c r="C51" s="314" t="s">
        <v>233</v>
      </c>
      <c r="D51" s="196" t="s">
        <v>918</v>
      </c>
      <c r="E51" s="147"/>
      <c r="F51" s="163" t="s">
        <v>106</v>
      </c>
    </row>
    <row r="52" spans="2:6" ht="51">
      <c r="B52" s="169">
        <v>20</v>
      </c>
      <c r="C52" s="307" t="s">
        <v>234</v>
      </c>
      <c r="D52" s="196" t="s">
        <v>918</v>
      </c>
      <c r="E52" s="147"/>
      <c r="F52" s="163" t="s">
        <v>106</v>
      </c>
    </row>
    <row r="53" spans="2:6" ht="38.25">
      <c r="B53" s="169">
        <v>21</v>
      </c>
      <c r="C53" s="314" t="s">
        <v>235</v>
      </c>
      <c r="D53" s="196" t="s">
        <v>918</v>
      </c>
      <c r="E53" s="147"/>
      <c r="F53" s="163" t="s">
        <v>106</v>
      </c>
    </row>
    <row r="54" spans="2:6" ht="51">
      <c r="B54" s="169">
        <v>22</v>
      </c>
      <c r="C54" s="314" t="s">
        <v>295</v>
      </c>
      <c r="D54" s="196" t="s">
        <v>918</v>
      </c>
      <c r="E54" s="147"/>
      <c r="F54" s="163" t="s">
        <v>106</v>
      </c>
    </row>
    <row r="55" spans="2:6" ht="38.25">
      <c r="B55" s="169">
        <v>23</v>
      </c>
      <c r="C55" s="315" t="s">
        <v>262</v>
      </c>
      <c r="D55" s="196" t="s">
        <v>918</v>
      </c>
      <c r="E55" s="147"/>
      <c r="F55" s="163" t="s">
        <v>107</v>
      </c>
    </row>
    <row r="56" spans="2:6" ht="25.5">
      <c r="B56" s="169">
        <v>24</v>
      </c>
      <c r="C56" s="316" t="s">
        <v>236</v>
      </c>
      <c r="D56" s="196" t="s">
        <v>918</v>
      </c>
      <c r="E56" s="147"/>
      <c r="F56" s="163" t="s">
        <v>107</v>
      </c>
    </row>
    <row r="57" spans="2:6" ht="165.75">
      <c r="B57" s="169">
        <v>25</v>
      </c>
      <c r="C57" s="316" t="s">
        <v>237</v>
      </c>
      <c r="D57" s="196" t="s">
        <v>918</v>
      </c>
      <c r="E57" s="147"/>
      <c r="F57" s="163" t="s">
        <v>107</v>
      </c>
    </row>
    <row r="58" spans="2:6" ht="51">
      <c r="B58" s="169">
        <v>26</v>
      </c>
      <c r="C58" s="316" t="s">
        <v>238</v>
      </c>
      <c r="D58" s="196" t="s">
        <v>918</v>
      </c>
      <c r="E58" s="147"/>
      <c r="F58" s="163" t="s">
        <v>107</v>
      </c>
    </row>
    <row r="59" spans="2:6" ht="38.25">
      <c r="B59" s="169">
        <v>27</v>
      </c>
      <c r="C59" s="316" t="s">
        <v>239</v>
      </c>
      <c r="D59" s="196" t="s">
        <v>918</v>
      </c>
      <c r="E59" s="147"/>
      <c r="F59" s="163" t="s">
        <v>107</v>
      </c>
    </row>
    <row r="60" spans="2:6" ht="38.25">
      <c r="B60" s="169">
        <v>28</v>
      </c>
      <c r="C60" s="315" t="s">
        <v>240</v>
      </c>
      <c r="D60" s="196" t="s">
        <v>918</v>
      </c>
      <c r="E60" s="147"/>
      <c r="F60" s="163" t="s">
        <v>107</v>
      </c>
    </row>
    <row r="61" spans="2:6" ht="38.25">
      <c r="B61" s="169">
        <v>29</v>
      </c>
      <c r="C61" s="316" t="s">
        <v>241</v>
      </c>
      <c r="D61" s="196" t="s">
        <v>918</v>
      </c>
      <c r="E61" s="147"/>
      <c r="F61" s="163" t="s">
        <v>107</v>
      </c>
    </row>
    <row r="62" spans="2:6" ht="25.5">
      <c r="B62" s="169">
        <v>30</v>
      </c>
      <c r="C62" s="316" t="s">
        <v>242</v>
      </c>
      <c r="D62" s="196" t="s">
        <v>918</v>
      </c>
      <c r="E62" s="147"/>
      <c r="F62" s="163" t="s">
        <v>107</v>
      </c>
    </row>
    <row r="63" spans="2:6" ht="38.25">
      <c r="B63" s="169">
        <v>31</v>
      </c>
      <c r="C63" s="316" t="s">
        <v>243</v>
      </c>
      <c r="D63" s="196" t="s">
        <v>918</v>
      </c>
      <c r="E63" s="147"/>
      <c r="F63" s="163" t="s">
        <v>107</v>
      </c>
    </row>
    <row r="64" spans="2:6" ht="25.5">
      <c r="B64" s="169">
        <v>32</v>
      </c>
      <c r="C64" s="309" t="s">
        <v>244</v>
      </c>
      <c r="D64" s="196" t="s">
        <v>918</v>
      </c>
      <c r="E64" s="147"/>
      <c r="F64" s="163" t="s">
        <v>107</v>
      </c>
    </row>
    <row r="65" spans="2:10" ht="76.5">
      <c r="B65" s="169">
        <v>33</v>
      </c>
      <c r="C65" s="309" t="s">
        <v>263</v>
      </c>
      <c r="D65" s="196" t="s">
        <v>918</v>
      </c>
      <c r="E65" s="147"/>
      <c r="F65" s="163" t="s">
        <v>108</v>
      </c>
    </row>
    <row r="66" spans="2:10" ht="38.25">
      <c r="B66" s="169">
        <v>34</v>
      </c>
      <c r="C66" s="309" t="s">
        <v>245</v>
      </c>
      <c r="D66" s="196" t="s">
        <v>918</v>
      </c>
      <c r="E66" s="147"/>
      <c r="F66" s="163" t="s">
        <v>108</v>
      </c>
    </row>
    <row r="67" spans="2:10" ht="38.25">
      <c r="B67" s="169">
        <v>35</v>
      </c>
      <c r="C67" s="309" t="s">
        <v>246</v>
      </c>
      <c r="D67" s="196" t="s">
        <v>918</v>
      </c>
      <c r="E67" s="147"/>
      <c r="F67" s="163" t="s">
        <v>108</v>
      </c>
    </row>
    <row r="68" spans="2:10" ht="25.5">
      <c r="B68" s="169">
        <v>36</v>
      </c>
      <c r="C68" s="314" t="s">
        <v>247</v>
      </c>
      <c r="D68" s="196" t="s">
        <v>918</v>
      </c>
      <c r="E68" s="147"/>
      <c r="F68" s="163" t="s">
        <v>255</v>
      </c>
    </row>
    <row r="69" spans="2:10" ht="38.25">
      <c r="B69" s="169">
        <v>37</v>
      </c>
      <c r="C69" s="314" t="s">
        <v>248</v>
      </c>
      <c r="D69" s="196" t="s">
        <v>918</v>
      </c>
      <c r="E69" s="147"/>
      <c r="F69" s="163" t="s">
        <v>255</v>
      </c>
    </row>
    <row r="70" spans="2:10" ht="25.5">
      <c r="B70" s="169">
        <v>38</v>
      </c>
      <c r="C70" s="314" t="s">
        <v>264</v>
      </c>
      <c r="D70" s="196" t="s">
        <v>918</v>
      </c>
      <c r="E70" s="147"/>
      <c r="F70" s="163" t="s">
        <v>255</v>
      </c>
    </row>
    <row r="71" spans="2:10" ht="51">
      <c r="B71" s="169">
        <v>39</v>
      </c>
      <c r="C71" s="314" t="s">
        <v>133</v>
      </c>
      <c r="D71" s="196" t="s">
        <v>918</v>
      </c>
      <c r="E71" s="147"/>
      <c r="F71" s="163" t="s">
        <v>255</v>
      </c>
    </row>
    <row r="72" spans="2:10" ht="63.75">
      <c r="B72" s="169">
        <v>40</v>
      </c>
      <c r="C72" s="314" t="s">
        <v>265</v>
      </c>
      <c r="D72" s="196" t="s">
        <v>918</v>
      </c>
      <c r="E72" s="147"/>
      <c r="F72" s="163" t="s">
        <v>255</v>
      </c>
    </row>
    <row r="73" spans="2:10" ht="76.5">
      <c r="B73" s="169">
        <v>41</v>
      </c>
      <c r="C73" s="308" t="s">
        <v>726</v>
      </c>
      <c r="D73" s="196" t="s">
        <v>918</v>
      </c>
      <c r="E73" s="147"/>
      <c r="F73" s="163" t="s">
        <v>255</v>
      </c>
    </row>
    <row r="74" spans="2:10" ht="39" thickBot="1">
      <c r="B74" s="169">
        <v>42</v>
      </c>
      <c r="C74" s="317" t="s">
        <v>840</v>
      </c>
      <c r="D74" s="196" t="s">
        <v>918</v>
      </c>
      <c r="E74" s="183"/>
      <c r="F74" s="184" t="s">
        <v>895</v>
      </c>
    </row>
    <row r="75" spans="2:10">
      <c r="C75" s="35"/>
    </row>
    <row r="76" spans="2:10">
      <c r="C76" s="35"/>
    </row>
    <row r="77" spans="2:10">
      <c r="C77" s="35"/>
    </row>
    <row r="78" spans="2:10" ht="14.25">
      <c r="B78" s="286" t="s">
        <v>706</v>
      </c>
      <c r="C78" s="287"/>
      <c r="D78" s="287"/>
      <c r="E78" s="287"/>
      <c r="F78" s="287"/>
      <c r="G78" s="287"/>
      <c r="H78" s="287"/>
      <c r="I78" s="287"/>
      <c r="J78" s="287"/>
    </row>
    <row r="79" spans="2:10" ht="51">
      <c r="B79" s="28"/>
      <c r="C79" s="28" t="s">
        <v>678</v>
      </c>
      <c r="D79" s="28"/>
      <c r="E79" s="28"/>
      <c r="F79" s="28"/>
      <c r="G79" s="28"/>
      <c r="H79" s="28"/>
      <c r="I79" s="28"/>
      <c r="J79" s="28"/>
    </row>
    <row r="80" spans="2:10">
      <c r="C80" s="35" t="s">
        <v>679</v>
      </c>
    </row>
  </sheetData>
  <mergeCells count="11">
    <mergeCell ref="B9:C9"/>
    <mergeCell ref="B10:C10"/>
    <mergeCell ref="B11:C11"/>
    <mergeCell ref="B13:J13"/>
    <mergeCell ref="B78:J78"/>
    <mergeCell ref="B8:C8"/>
    <mergeCell ref="B2:E2"/>
    <mergeCell ref="B3:C3"/>
    <mergeCell ref="B4:C4"/>
    <mergeCell ref="B6:C6"/>
    <mergeCell ref="B7:C7"/>
  </mergeCells>
  <dataValidations count="1">
    <dataValidation type="list" showInputMessage="1" showErrorMessage="1" sqref="D33:D74">
      <formula1>"TODO NATIVO, NATIVO Y DESARROLLO, DESARROLLO TOTAL"</formula1>
    </dataValidation>
  </dataValidations>
  <pageMargins left="0.7" right="0.7" top="0.75" bottom="0.75" header="0.3" footer="0.3"/>
  <pageSetup orientation="portrait" r:id="rId1"/>
  <customProperties>
    <customPr name="DVSECTIONID" r:id="rId2"/>
  </customProperties>
</worksheet>
</file>

<file path=xl/worksheets/sheet9.xml><?xml version="1.0" encoding="utf-8"?>
<worksheet xmlns="http://schemas.openxmlformats.org/spreadsheetml/2006/main" xmlns:r="http://schemas.openxmlformats.org/officeDocument/2006/relationships">
  <sheetPr codeName="Sheet13"/>
  <dimension ref="A1:IV50"/>
  <sheetViews>
    <sheetView workbookViewId="0">
      <selection activeCell="IA50" sqref="IA50"/>
    </sheetView>
  </sheetViews>
  <sheetFormatPr defaultRowHeight="12.75"/>
  <sheetData>
    <row r="1" spans="1:256">
      <c r="A1" t="e">
        <f>IF(Data!1:1,"AAAAAGbz/wA=",0)</f>
        <v>#VALUE!</v>
      </c>
      <c r="B1" t="e">
        <f>AND(Data!A1,"AAAAAGbz/wE=")</f>
        <v>#VALUE!</v>
      </c>
      <c r="C1" t="e">
        <f>AND(Data!B1,"AAAAAGbz/wI=")</f>
        <v>#VALUE!</v>
      </c>
      <c r="D1" t="e">
        <f>AND(Data!C1,"AAAAAGbz/wM=")</f>
        <v>#VALUE!</v>
      </c>
      <c r="E1" t="e">
        <f>AND(Data!D1,"AAAAAGbz/wQ=")</f>
        <v>#VALUE!</v>
      </c>
      <c r="F1" t="e">
        <f>AND(Data!E1,"AAAAAGbz/wU=")</f>
        <v>#VALUE!</v>
      </c>
      <c r="G1" t="e">
        <f>AND(Data!F1,"AAAAAGbz/wY=")</f>
        <v>#VALUE!</v>
      </c>
      <c r="H1" t="e">
        <f>AND(Data!G1,"AAAAAGbz/wc=")</f>
        <v>#VALUE!</v>
      </c>
      <c r="I1" t="e">
        <f>AND(Data!H1,"AAAAAGbz/wg=")</f>
        <v>#VALUE!</v>
      </c>
      <c r="J1">
        <f>IF(Data!2:2,"AAAAAGbz/wk=",0)</f>
        <v>0</v>
      </c>
      <c r="K1" t="e">
        <f>AND(Data!A2,"AAAAAGbz/wo=")</f>
        <v>#VALUE!</v>
      </c>
      <c r="L1" t="e">
        <f>AND(Data!B2,"AAAAAGbz/ws=")</f>
        <v>#VALUE!</v>
      </c>
      <c r="M1" t="e">
        <f>AND(Data!C2,"AAAAAGbz/ww=")</f>
        <v>#VALUE!</v>
      </c>
      <c r="N1" t="e">
        <f>AND(Data!D2,"AAAAAGbz/w0=")</f>
        <v>#VALUE!</v>
      </c>
      <c r="O1" t="e">
        <f>AND(Data!E2,"AAAAAGbz/w4=")</f>
        <v>#VALUE!</v>
      </c>
      <c r="P1" t="e">
        <f>AND(Data!F2,"AAAAAGbz/w8=")</f>
        <v>#VALUE!</v>
      </c>
      <c r="Q1" t="e">
        <f>AND(Data!G2,"AAAAAGbz/xA=")</f>
        <v>#VALUE!</v>
      </c>
      <c r="R1" t="e">
        <f>AND(Data!H2,"AAAAAGbz/xE=")</f>
        <v>#VALUE!</v>
      </c>
      <c r="S1">
        <f>IF(Data!3:3,"AAAAAGbz/xI=",0)</f>
        <v>0</v>
      </c>
      <c r="T1" t="e">
        <f>AND(Data!A3,"AAAAAGbz/xM=")</f>
        <v>#VALUE!</v>
      </c>
      <c r="U1" t="e">
        <f>AND(Data!B3,"AAAAAGbz/xQ=")</f>
        <v>#VALUE!</v>
      </c>
      <c r="V1" t="e">
        <f>AND(Data!C3,"AAAAAGbz/xU=")</f>
        <v>#VALUE!</v>
      </c>
      <c r="W1" t="e">
        <f>AND(Data!D3,"AAAAAGbz/xY=")</f>
        <v>#VALUE!</v>
      </c>
      <c r="X1" t="e">
        <f>AND(Data!E3,"AAAAAGbz/xc=")</f>
        <v>#VALUE!</v>
      </c>
      <c r="Y1" t="e">
        <f>AND(Data!F3,"AAAAAGbz/xg=")</f>
        <v>#VALUE!</v>
      </c>
      <c r="Z1" t="e">
        <f>AND(Data!G3,"AAAAAGbz/xk=")</f>
        <v>#VALUE!</v>
      </c>
      <c r="AA1" t="e">
        <f>AND(Data!H3,"AAAAAGbz/xo=")</f>
        <v>#VALUE!</v>
      </c>
      <c r="AB1">
        <f>IF(Data!4:4,"AAAAAGbz/xs=",0)</f>
        <v>0</v>
      </c>
      <c r="AC1" t="e">
        <f>AND(Data!A4,"AAAAAGbz/xw=")</f>
        <v>#VALUE!</v>
      </c>
      <c r="AD1" t="e">
        <f>AND(Data!B4,"AAAAAGbz/x0=")</f>
        <v>#VALUE!</v>
      </c>
      <c r="AE1" t="e">
        <f>AND(Data!C4,"AAAAAGbz/x4=")</f>
        <v>#VALUE!</v>
      </c>
      <c r="AF1" t="e">
        <f>AND(Data!D4,"AAAAAGbz/x8=")</f>
        <v>#VALUE!</v>
      </c>
      <c r="AG1" t="e">
        <f>AND(Data!E4,"AAAAAGbz/yA=")</f>
        <v>#VALUE!</v>
      </c>
      <c r="AH1" t="e">
        <f>AND(Data!F4,"AAAAAGbz/yE=")</f>
        <v>#VALUE!</v>
      </c>
      <c r="AI1" t="e">
        <f>AND(Data!G4,"AAAAAGbz/yI=")</f>
        <v>#VALUE!</v>
      </c>
      <c r="AJ1" t="e">
        <f>AND(Data!H4,"AAAAAGbz/yM=")</f>
        <v>#VALUE!</v>
      </c>
      <c r="AK1">
        <f>IF(Data!5:5,"AAAAAGbz/yQ=",0)</f>
        <v>0</v>
      </c>
      <c r="AL1" t="e">
        <f>AND(Data!A5,"AAAAAGbz/yU=")</f>
        <v>#VALUE!</v>
      </c>
      <c r="AM1" t="e">
        <f>AND(Data!B5,"AAAAAGbz/yY=")</f>
        <v>#VALUE!</v>
      </c>
      <c r="AN1" t="e">
        <f>AND(Data!C5,"AAAAAGbz/yc=")</f>
        <v>#VALUE!</v>
      </c>
      <c r="AO1" t="e">
        <f>AND(Data!D5,"AAAAAGbz/yg=")</f>
        <v>#VALUE!</v>
      </c>
      <c r="AP1" t="e">
        <f>AND(Data!E5,"AAAAAGbz/yk=")</f>
        <v>#VALUE!</v>
      </c>
      <c r="AQ1" t="e">
        <f>AND(Data!F5,"AAAAAGbz/yo=")</f>
        <v>#VALUE!</v>
      </c>
      <c r="AR1" t="e">
        <f>AND(Data!G5,"AAAAAGbz/ys=")</f>
        <v>#VALUE!</v>
      </c>
      <c r="AS1" t="e">
        <f>AND(Data!H5,"AAAAAGbz/yw=")</f>
        <v>#VALUE!</v>
      </c>
      <c r="AT1">
        <f>IF(Data!6:6,"AAAAAGbz/y0=",0)</f>
        <v>0</v>
      </c>
      <c r="AU1" t="e">
        <f>AND(Data!A6,"AAAAAGbz/y4=")</f>
        <v>#VALUE!</v>
      </c>
      <c r="AV1" t="e">
        <f>AND(Data!B6,"AAAAAGbz/y8=")</f>
        <v>#VALUE!</v>
      </c>
      <c r="AW1" t="e">
        <f>AND(Data!C6,"AAAAAGbz/zA=")</f>
        <v>#VALUE!</v>
      </c>
      <c r="AX1" t="e">
        <f>AND(Data!D6,"AAAAAGbz/zE=")</f>
        <v>#VALUE!</v>
      </c>
      <c r="AY1" t="e">
        <f>AND(Data!E6,"AAAAAGbz/zI=")</f>
        <v>#VALUE!</v>
      </c>
      <c r="AZ1" t="e">
        <f>AND(Data!F6,"AAAAAGbz/zM=")</f>
        <v>#VALUE!</v>
      </c>
      <c r="BA1" t="e">
        <f>AND(Data!G6,"AAAAAGbz/zQ=")</f>
        <v>#VALUE!</v>
      </c>
      <c r="BB1" t="e">
        <f>AND(Data!H6,"AAAAAGbz/zU=")</f>
        <v>#VALUE!</v>
      </c>
      <c r="BC1">
        <f>IF(Data!7:7,"AAAAAGbz/zY=",0)</f>
        <v>0</v>
      </c>
      <c r="BD1" t="e">
        <f>AND(Data!A7,"AAAAAGbz/zc=")</f>
        <v>#VALUE!</v>
      </c>
      <c r="BE1" t="e">
        <f>AND(Data!B7,"AAAAAGbz/zg=")</f>
        <v>#VALUE!</v>
      </c>
      <c r="BF1" t="e">
        <f>AND(Data!C7,"AAAAAGbz/zk=")</f>
        <v>#VALUE!</v>
      </c>
      <c r="BG1" t="e">
        <f>AND(Data!D7,"AAAAAGbz/zo=")</f>
        <v>#VALUE!</v>
      </c>
      <c r="BH1" t="e">
        <f>AND(Data!E7,"AAAAAGbz/zs=")</f>
        <v>#VALUE!</v>
      </c>
      <c r="BI1" t="e">
        <f>AND(Data!F7,"AAAAAGbz/zw=")</f>
        <v>#VALUE!</v>
      </c>
      <c r="BJ1" t="e">
        <f>AND(Data!G7,"AAAAAGbz/z0=")</f>
        <v>#VALUE!</v>
      </c>
      <c r="BK1" t="e">
        <f>AND(Data!H7,"AAAAAGbz/z4=")</f>
        <v>#VALUE!</v>
      </c>
      <c r="BL1">
        <f>IF(Data!8:8,"AAAAAGbz/z8=",0)</f>
        <v>0</v>
      </c>
      <c r="BM1" t="e">
        <f>AND(Data!A8,"AAAAAGbz/0A=")</f>
        <v>#VALUE!</v>
      </c>
      <c r="BN1" t="e">
        <f>AND(Data!B8,"AAAAAGbz/0E=")</f>
        <v>#VALUE!</v>
      </c>
      <c r="BO1" t="e">
        <f>AND(Data!C8,"AAAAAGbz/0I=")</f>
        <v>#VALUE!</v>
      </c>
      <c r="BP1" t="e">
        <f>AND(Data!D8,"AAAAAGbz/0M=")</f>
        <v>#VALUE!</v>
      </c>
      <c r="BQ1" t="e">
        <f>AND(Data!E8,"AAAAAGbz/0Q=")</f>
        <v>#VALUE!</v>
      </c>
      <c r="BR1" t="e">
        <f>AND(Data!F8,"AAAAAGbz/0U=")</f>
        <v>#VALUE!</v>
      </c>
      <c r="BS1" t="e">
        <f>AND(Data!G8,"AAAAAGbz/0Y=")</f>
        <v>#VALUE!</v>
      </c>
      <c r="BT1" t="e">
        <f>AND(Data!H8,"AAAAAGbz/0c=")</f>
        <v>#VALUE!</v>
      </c>
      <c r="BU1">
        <f>IF(Data!9:9,"AAAAAGbz/0g=",0)</f>
        <v>0</v>
      </c>
      <c r="BV1" t="e">
        <f>AND(Data!A9,"AAAAAGbz/0k=")</f>
        <v>#VALUE!</v>
      </c>
      <c r="BW1" t="e">
        <f>AND(Data!B9,"AAAAAGbz/0o=")</f>
        <v>#VALUE!</v>
      </c>
      <c r="BX1" t="e">
        <f>AND(Data!C9,"AAAAAGbz/0s=")</f>
        <v>#VALUE!</v>
      </c>
      <c r="BY1" t="e">
        <f>AND(Data!D9,"AAAAAGbz/0w=")</f>
        <v>#VALUE!</v>
      </c>
      <c r="BZ1" t="e">
        <f>AND(Data!E9,"AAAAAGbz/00=")</f>
        <v>#VALUE!</v>
      </c>
      <c r="CA1" t="e">
        <f>AND(Data!F9,"AAAAAGbz/04=")</f>
        <v>#VALUE!</v>
      </c>
      <c r="CB1" t="e">
        <f>AND(Data!G9,"AAAAAGbz/08=")</f>
        <v>#VALUE!</v>
      </c>
      <c r="CC1" t="e">
        <f>AND(Data!H9,"AAAAAGbz/1A=")</f>
        <v>#VALUE!</v>
      </c>
      <c r="CD1">
        <f>IF(Data!10:10,"AAAAAGbz/1E=",0)</f>
        <v>0</v>
      </c>
      <c r="CE1" t="e">
        <f>AND(Data!A10,"AAAAAGbz/1I=")</f>
        <v>#VALUE!</v>
      </c>
      <c r="CF1" t="e">
        <f>AND(Data!B10,"AAAAAGbz/1M=")</f>
        <v>#VALUE!</v>
      </c>
      <c r="CG1" t="e">
        <f>AND(Data!C10,"AAAAAGbz/1Q=")</f>
        <v>#VALUE!</v>
      </c>
      <c r="CH1" t="e">
        <f>AND(Data!D10,"AAAAAGbz/1U=")</f>
        <v>#VALUE!</v>
      </c>
      <c r="CI1" t="e">
        <f>AND(Data!E10,"AAAAAGbz/1Y=")</f>
        <v>#VALUE!</v>
      </c>
      <c r="CJ1" t="e">
        <f>AND(Data!F10,"AAAAAGbz/1c=")</f>
        <v>#VALUE!</v>
      </c>
      <c r="CK1" t="e">
        <f>AND(Data!G10,"AAAAAGbz/1g=")</f>
        <v>#VALUE!</v>
      </c>
      <c r="CL1" t="e">
        <f>AND(Data!H10,"AAAAAGbz/1k=")</f>
        <v>#VALUE!</v>
      </c>
      <c r="CM1">
        <f>IF(Data!11:11,"AAAAAGbz/1o=",0)</f>
        <v>0</v>
      </c>
      <c r="CN1" t="e">
        <f>AND(Data!A11,"AAAAAGbz/1s=")</f>
        <v>#VALUE!</v>
      </c>
      <c r="CO1" t="e">
        <f>AND(Data!B11,"AAAAAGbz/1w=")</f>
        <v>#VALUE!</v>
      </c>
      <c r="CP1" t="e">
        <f>AND(Data!C11,"AAAAAGbz/10=")</f>
        <v>#VALUE!</v>
      </c>
      <c r="CQ1" t="e">
        <f>AND(Data!D11,"AAAAAGbz/14=")</f>
        <v>#VALUE!</v>
      </c>
      <c r="CR1" t="e">
        <f>AND(Data!E11,"AAAAAGbz/18=")</f>
        <v>#VALUE!</v>
      </c>
      <c r="CS1" t="e">
        <f>AND(Data!F11,"AAAAAGbz/2A=")</f>
        <v>#VALUE!</v>
      </c>
      <c r="CT1" t="e">
        <f>AND(Data!G11,"AAAAAGbz/2E=")</f>
        <v>#VALUE!</v>
      </c>
      <c r="CU1" t="e">
        <f>AND(Data!H11,"AAAAAGbz/2I=")</f>
        <v>#VALUE!</v>
      </c>
      <c r="CV1">
        <f>IF(Data!12:12,"AAAAAGbz/2M=",0)</f>
        <v>0</v>
      </c>
      <c r="CW1" t="e">
        <f>AND(Data!A12,"AAAAAGbz/2Q=")</f>
        <v>#VALUE!</v>
      </c>
      <c r="CX1" t="e">
        <f>AND(Data!B12,"AAAAAGbz/2U=")</f>
        <v>#VALUE!</v>
      </c>
      <c r="CY1" t="e">
        <f>AND(Data!C12,"AAAAAGbz/2Y=")</f>
        <v>#VALUE!</v>
      </c>
      <c r="CZ1" t="e">
        <f>AND(Data!D12,"AAAAAGbz/2c=")</f>
        <v>#VALUE!</v>
      </c>
      <c r="DA1" t="e">
        <f>AND(Data!E12,"AAAAAGbz/2g=")</f>
        <v>#VALUE!</v>
      </c>
      <c r="DB1" t="e">
        <f>AND(Data!F12,"AAAAAGbz/2k=")</f>
        <v>#VALUE!</v>
      </c>
      <c r="DC1" t="e">
        <f>AND(Data!G12,"AAAAAGbz/2o=")</f>
        <v>#VALUE!</v>
      </c>
      <c r="DD1" t="e">
        <f>AND(Data!H12,"AAAAAGbz/2s=")</f>
        <v>#VALUE!</v>
      </c>
      <c r="DE1">
        <f>IF(Data!13:13,"AAAAAGbz/2w=",0)</f>
        <v>0</v>
      </c>
      <c r="DF1" t="e">
        <f>AND(Data!A13,"AAAAAGbz/20=")</f>
        <v>#VALUE!</v>
      </c>
      <c r="DG1" t="e">
        <f>AND(Data!B13,"AAAAAGbz/24=")</f>
        <v>#VALUE!</v>
      </c>
      <c r="DH1" t="e">
        <f>AND(Data!C13,"AAAAAGbz/28=")</f>
        <v>#VALUE!</v>
      </c>
      <c r="DI1" t="e">
        <f>AND(Data!D13,"AAAAAGbz/3A=")</f>
        <v>#VALUE!</v>
      </c>
      <c r="DJ1" t="e">
        <f>AND(Data!E13,"AAAAAGbz/3E=")</f>
        <v>#VALUE!</v>
      </c>
      <c r="DK1" t="e">
        <f>AND(Data!F13,"AAAAAGbz/3I=")</f>
        <v>#VALUE!</v>
      </c>
      <c r="DL1" t="e">
        <f>AND(Data!G13,"AAAAAGbz/3M=")</f>
        <v>#VALUE!</v>
      </c>
      <c r="DM1" t="e">
        <f>AND(Data!H13,"AAAAAGbz/3Q=")</f>
        <v>#VALUE!</v>
      </c>
      <c r="DN1">
        <f>IF(Data!14:14,"AAAAAGbz/3U=",0)</f>
        <v>0</v>
      </c>
      <c r="DO1" t="e">
        <f>AND(Data!A14,"AAAAAGbz/3Y=")</f>
        <v>#VALUE!</v>
      </c>
      <c r="DP1" t="e">
        <f>AND(Data!B14,"AAAAAGbz/3c=")</f>
        <v>#VALUE!</v>
      </c>
      <c r="DQ1" t="e">
        <f>AND(Data!C14,"AAAAAGbz/3g=")</f>
        <v>#VALUE!</v>
      </c>
      <c r="DR1" t="e">
        <f>AND(Data!D14,"AAAAAGbz/3k=")</f>
        <v>#VALUE!</v>
      </c>
      <c r="DS1" t="e">
        <f>AND(Data!E14,"AAAAAGbz/3o=")</f>
        <v>#VALUE!</v>
      </c>
      <c r="DT1" t="e">
        <f>AND(Data!F14,"AAAAAGbz/3s=")</f>
        <v>#VALUE!</v>
      </c>
      <c r="DU1" t="e">
        <f>AND(Data!G14,"AAAAAGbz/3w=")</f>
        <v>#VALUE!</v>
      </c>
      <c r="DV1" t="e">
        <f>AND(Data!H14,"AAAAAGbz/30=")</f>
        <v>#VALUE!</v>
      </c>
      <c r="DW1">
        <f>IF(Data!15:15,"AAAAAGbz/34=",0)</f>
        <v>0</v>
      </c>
      <c r="DX1" t="e">
        <f>AND(Data!A15,"AAAAAGbz/38=")</f>
        <v>#VALUE!</v>
      </c>
      <c r="DY1" t="e">
        <f>AND(Data!B15,"AAAAAGbz/4A=")</f>
        <v>#VALUE!</v>
      </c>
      <c r="DZ1" t="e">
        <f>AND(Data!C15,"AAAAAGbz/4E=")</f>
        <v>#VALUE!</v>
      </c>
      <c r="EA1" t="e">
        <f>AND(Data!D15,"AAAAAGbz/4I=")</f>
        <v>#VALUE!</v>
      </c>
      <c r="EB1" t="e">
        <f>AND(Data!E15,"AAAAAGbz/4M=")</f>
        <v>#VALUE!</v>
      </c>
      <c r="EC1" t="e">
        <f>AND(Data!F15,"AAAAAGbz/4Q=")</f>
        <v>#VALUE!</v>
      </c>
      <c r="ED1" t="e">
        <f>AND(Data!G15,"AAAAAGbz/4U=")</f>
        <v>#VALUE!</v>
      </c>
      <c r="EE1" t="e">
        <f>AND(Data!H15,"AAAAAGbz/4Y=")</f>
        <v>#VALUE!</v>
      </c>
      <c r="EF1">
        <f>IF(Data!16:16,"AAAAAGbz/4c=",0)</f>
        <v>0</v>
      </c>
      <c r="EG1" t="e">
        <f>AND(Data!A16,"AAAAAGbz/4g=")</f>
        <v>#VALUE!</v>
      </c>
      <c r="EH1" t="e">
        <f>AND(Data!B16,"AAAAAGbz/4k=")</f>
        <v>#VALUE!</v>
      </c>
      <c r="EI1" t="e">
        <f>AND(Data!C16,"AAAAAGbz/4o=")</f>
        <v>#VALUE!</v>
      </c>
      <c r="EJ1" t="e">
        <f>AND(Data!D16,"AAAAAGbz/4s=")</f>
        <v>#VALUE!</v>
      </c>
      <c r="EK1" t="e">
        <f>AND(Data!E16,"AAAAAGbz/4w=")</f>
        <v>#VALUE!</v>
      </c>
      <c r="EL1" t="e">
        <f>AND(Data!F16,"AAAAAGbz/40=")</f>
        <v>#VALUE!</v>
      </c>
      <c r="EM1" t="e">
        <f>AND(Data!G16,"AAAAAGbz/44=")</f>
        <v>#VALUE!</v>
      </c>
      <c r="EN1" t="e">
        <f>AND(Data!H16,"AAAAAGbz/48=")</f>
        <v>#VALUE!</v>
      </c>
      <c r="EO1">
        <f>IF(Data!17:17,"AAAAAGbz/5A=",0)</f>
        <v>0</v>
      </c>
      <c r="EP1" t="e">
        <f>AND(Data!A17,"AAAAAGbz/5E=")</f>
        <v>#VALUE!</v>
      </c>
      <c r="EQ1" t="e">
        <f>AND(Data!B17,"AAAAAGbz/5I=")</f>
        <v>#VALUE!</v>
      </c>
      <c r="ER1" t="e">
        <f>AND(Data!C17,"AAAAAGbz/5M=")</f>
        <v>#VALUE!</v>
      </c>
      <c r="ES1" t="e">
        <f>AND(Data!D17,"AAAAAGbz/5Q=")</f>
        <v>#VALUE!</v>
      </c>
      <c r="ET1">
        <f>IF(Data!18:18,"AAAAAGbz/5U=",0)</f>
        <v>0</v>
      </c>
      <c r="EU1" t="e">
        <f>AND(Data!A18,"AAAAAGbz/5Y=")</f>
        <v>#VALUE!</v>
      </c>
      <c r="EV1" t="e">
        <f>AND(Data!B18,"AAAAAGbz/5c=")</f>
        <v>#VALUE!</v>
      </c>
      <c r="EW1" t="e">
        <f>AND(Data!C18,"AAAAAGbz/5g=")</f>
        <v>#VALUE!</v>
      </c>
      <c r="EX1" t="e">
        <f>AND(Data!D18,"AAAAAGbz/5k=")</f>
        <v>#VALUE!</v>
      </c>
      <c r="EY1">
        <f>IF(Data!19:19,"AAAAAGbz/5o=",0)</f>
        <v>0</v>
      </c>
      <c r="EZ1" t="e">
        <f>AND(Data!A19,"AAAAAGbz/5s=")</f>
        <v>#VALUE!</v>
      </c>
      <c r="FA1" t="e">
        <f>AND(Data!B19,"AAAAAGbz/5w=")</f>
        <v>#VALUE!</v>
      </c>
      <c r="FB1" t="e">
        <f>AND(Data!C19,"AAAAAGbz/50=")</f>
        <v>#VALUE!</v>
      </c>
      <c r="FC1" t="e">
        <f>AND(Data!D19,"AAAAAGbz/54=")</f>
        <v>#VALUE!</v>
      </c>
      <c r="FD1">
        <f>IF(Data!20:20,"AAAAAGbz/58=",0)</f>
        <v>0</v>
      </c>
      <c r="FE1" t="e">
        <f>AND(Data!A20,"AAAAAGbz/6A=")</f>
        <v>#VALUE!</v>
      </c>
      <c r="FF1" t="e">
        <f>AND(Data!B20,"AAAAAGbz/6E=")</f>
        <v>#VALUE!</v>
      </c>
      <c r="FG1" t="e">
        <f>AND(Data!C20,"AAAAAGbz/6I=")</f>
        <v>#VALUE!</v>
      </c>
      <c r="FH1" t="e">
        <f>AND(Data!D20,"AAAAAGbz/6M=")</f>
        <v>#VALUE!</v>
      </c>
      <c r="FI1">
        <f>IF(Data!21:21,"AAAAAGbz/6Q=",0)</f>
        <v>0</v>
      </c>
      <c r="FJ1" t="e">
        <f>AND(Data!A21,"AAAAAGbz/6U=")</f>
        <v>#VALUE!</v>
      </c>
      <c r="FK1" t="e">
        <f>AND(Data!B21,"AAAAAGbz/6Y=")</f>
        <v>#VALUE!</v>
      </c>
      <c r="FL1" t="e">
        <f>AND(Data!C21,"AAAAAGbz/6c=")</f>
        <v>#VALUE!</v>
      </c>
      <c r="FM1" t="e">
        <f>AND(Data!D21,"AAAAAGbz/6g=")</f>
        <v>#VALUE!</v>
      </c>
      <c r="FN1">
        <f>IF(Data!22:22,"AAAAAGbz/6k=",0)</f>
        <v>0</v>
      </c>
      <c r="FO1" t="e">
        <f>AND(Data!A22,"AAAAAGbz/6o=")</f>
        <v>#VALUE!</v>
      </c>
      <c r="FP1" t="e">
        <f>AND(Data!B22,"AAAAAGbz/6s=")</f>
        <v>#VALUE!</v>
      </c>
      <c r="FQ1" t="e">
        <f>AND(Data!C22,"AAAAAGbz/6w=")</f>
        <v>#VALUE!</v>
      </c>
      <c r="FR1" t="e">
        <f>AND(Data!D22,"AAAAAGbz/60=")</f>
        <v>#VALUE!</v>
      </c>
      <c r="FS1">
        <f>IF(Data!23:23,"AAAAAGbz/64=",0)</f>
        <v>0</v>
      </c>
      <c r="FT1" t="e">
        <f>AND(Data!A23,"AAAAAGbz/68=")</f>
        <v>#VALUE!</v>
      </c>
      <c r="FU1" t="e">
        <f>AND(Data!B23,"AAAAAGbz/7A=")</f>
        <v>#VALUE!</v>
      </c>
      <c r="FV1" t="e">
        <f>AND(Data!C23,"AAAAAGbz/7E=")</f>
        <v>#VALUE!</v>
      </c>
      <c r="FW1" t="e">
        <f>AND(Data!D23,"AAAAAGbz/7I=")</f>
        <v>#VALUE!</v>
      </c>
      <c r="FX1">
        <f>IF(Data!24:24,"AAAAAGbz/7M=",0)</f>
        <v>0</v>
      </c>
      <c r="FY1" t="e">
        <f>AND(Data!A24,"AAAAAGbz/7Q=")</f>
        <v>#VALUE!</v>
      </c>
      <c r="FZ1" t="e">
        <f>AND(Data!B24,"AAAAAGbz/7U=")</f>
        <v>#VALUE!</v>
      </c>
      <c r="GA1" t="e">
        <f>AND(Data!C24,"AAAAAGbz/7Y=")</f>
        <v>#VALUE!</v>
      </c>
      <c r="GB1" t="e">
        <f>AND(Data!D24,"AAAAAGbz/7c=")</f>
        <v>#VALUE!</v>
      </c>
      <c r="GC1">
        <f>IF(Data!25:25,"AAAAAGbz/7g=",0)</f>
        <v>0</v>
      </c>
      <c r="GD1" t="e">
        <f>AND(Data!A25,"AAAAAGbz/7k=")</f>
        <v>#VALUE!</v>
      </c>
      <c r="GE1" t="e">
        <f>AND(Data!B25,"AAAAAGbz/7o=")</f>
        <v>#VALUE!</v>
      </c>
      <c r="GF1" t="e">
        <f>AND(Data!C25,"AAAAAGbz/7s=")</f>
        <v>#VALUE!</v>
      </c>
      <c r="GG1" t="e">
        <f>AND(Data!D25,"AAAAAGbz/7w=")</f>
        <v>#VALUE!</v>
      </c>
      <c r="GH1">
        <f>IF(Data!26:26,"AAAAAGbz/70=",0)</f>
        <v>0</v>
      </c>
      <c r="GI1" t="e">
        <f>AND(Data!A26,"AAAAAGbz/74=")</f>
        <v>#VALUE!</v>
      </c>
      <c r="GJ1" t="e">
        <f>AND(Data!B26,"AAAAAGbz/78=")</f>
        <v>#VALUE!</v>
      </c>
      <c r="GK1" t="e">
        <f>AND(Data!C26,"AAAAAGbz/8A=")</f>
        <v>#VALUE!</v>
      </c>
      <c r="GL1" t="e">
        <f>AND(Data!D26,"AAAAAGbz/8E=")</f>
        <v>#VALUE!</v>
      </c>
      <c r="GM1">
        <f>IF(Data!27:27,"AAAAAGbz/8I=",0)</f>
        <v>0</v>
      </c>
      <c r="GN1" t="e">
        <f>AND(Data!A27,"AAAAAGbz/8M=")</f>
        <v>#VALUE!</v>
      </c>
      <c r="GO1" t="e">
        <f>AND(Data!B27,"AAAAAGbz/8Q=")</f>
        <v>#VALUE!</v>
      </c>
      <c r="GP1" t="e">
        <f>AND(Data!C27,"AAAAAGbz/8U=")</f>
        <v>#VALUE!</v>
      </c>
      <c r="GQ1" t="e">
        <f>AND(Data!D27,"AAAAAGbz/8Y=")</f>
        <v>#VALUE!</v>
      </c>
      <c r="GR1">
        <f>IF(Data!28:28,"AAAAAGbz/8c=",0)</f>
        <v>0</v>
      </c>
      <c r="GS1" t="e">
        <f>AND(Data!A28,"AAAAAGbz/8g=")</f>
        <v>#VALUE!</v>
      </c>
      <c r="GT1" t="e">
        <f>AND(Data!B28,"AAAAAGbz/8k=")</f>
        <v>#VALUE!</v>
      </c>
      <c r="GU1" t="e">
        <f>AND(Data!C28,"AAAAAGbz/8o=")</f>
        <v>#VALUE!</v>
      </c>
      <c r="GV1" t="e">
        <f>AND(Data!D28,"AAAAAGbz/8s=")</f>
        <v>#VALUE!</v>
      </c>
      <c r="GW1">
        <f>IF(Data!29:29,"AAAAAGbz/8w=",0)</f>
        <v>0</v>
      </c>
      <c r="GX1" t="e">
        <f>AND(Data!A29,"AAAAAGbz/80=")</f>
        <v>#VALUE!</v>
      </c>
      <c r="GY1" t="e">
        <f>AND(Data!B29,"AAAAAGbz/84=")</f>
        <v>#VALUE!</v>
      </c>
      <c r="GZ1" t="e">
        <f>AND(Data!C29,"AAAAAGbz/88=")</f>
        <v>#VALUE!</v>
      </c>
      <c r="HA1" t="e">
        <f>AND(Data!D29,"AAAAAGbz/9A=")</f>
        <v>#VALUE!</v>
      </c>
      <c r="HB1">
        <f>IF(Data!30:30,"AAAAAGbz/9E=",0)</f>
        <v>0</v>
      </c>
      <c r="HC1" t="e">
        <f>AND(Data!A30,"AAAAAGbz/9I=")</f>
        <v>#VALUE!</v>
      </c>
      <c r="HD1" t="e">
        <f>AND(Data!B30,"AAAAAGbz/9M=")</f>
        <v>#VALUE!</v>
      </c>
      <c r="HE1" t="e">
        <f>AND(Data!C30,"AAAAAGbz/9Q=")</f>
        <v>#VALUE!</v>
      </c>
      <c r="HF1" t="e">
        <f>AND(Data!D30,"AAAAAGbz/9U=")</f>
        <v>#VALUE!</v>
      </c>
      <c r="HG1">
        <f>IF(Data!31:31,"AAAAAGbz/9Y=",0)</f>
        <v>0</v>
      </c>
      <c r="HH1" t="e">
        <f>AND(Data!A31,"AAAAAGbz/9c=")</f>
        <v>#VALUE!</v>
      </c>
      <c r="HI1" t="e">
        <f>AND(Data!B31,"AAAAAGbz/9g=")</f>
        <v>#VALUE!</v>
      </c>
      <c r="HJ1" t="e">
        <f>AND(Data!C31,"AAAAAGbz/9k=")</f>
        <v>#VALUE!</v>
      </c>
      <c r="HK1" t="e">
        <f>AND(Data!D31,"AAAAAGbz/9o=")</f>
        <v>#VALUE!</v>
      </c>
      <c r="HL1">
        <f>IF(Data!32:32,"AAAAAGbz/9s=",0)</f>
        <v>0</v>
      </c>
      <c r="HM1" t="e">
        <f>AND(Data!A32,"AAAAAGbz/9w=")</f>
        <v>#VALUE!</v>
      </c>
      <c r="HN1" t="e">
        <f>AND(Data!B32,"AAAAAGbz/90=")</f>
        <v>#VALUE!</v>
      </c>
      <c r="HO1" t="e">
        <f>AND(Data!C32,"AAAAAGbz/94=")</f>
        <v>#VALUE!</v>
      </c>
      <c r="HP1" t="e">
        <f>AND(Data!D32,"AAAAAGbz/98=")</f>
        <v>#VALUE!</v>
      </c>
      <c r="HQ1">
        <f>IF(Data!33:33,"AAAAAGbz/+A=",0)</f>
        <v>0</v>
      </c>
      <c r="HR1" t="e">
        <f>AND(Data!A33,"AAAAAGbz/+E=")</f>
        <v>#VALUE!</v>
      </c>
      <c r="HS1" t="e">
        <f>AND(Data!B33,"AAAAAGbz/+I=")</f>
        <v>#VALUE!</v>
      </c>
      <c r="HT1" t="e">
        <f>AND(Data!C33,"AAAAAGbz/+M=")</f>
        <v>#VALUE!</v>
      </c>
      <c r="HU1" t="e">
        <f>AND(Data!D33,"AAAAAGbz/+Q=")</f>
        <v>#VALUE!</v>
      </c>
      <c r="HV1">
        <f>IF(Data!34:34,"AAAAAGbz/+U=",0)</f>
        <v>0</v>
      </c>
      <c r="HW1" t="e">
        <f>AND(Data!A34,"AAAAAGbz/+Y=")</f>
        <v>#VALUE!</v>
      </c>
      <c r="HX1" t="e">
        <f>AND(Data!B34,"AAAAAGbz/+c=")</f>
        <v>#VALUE!</v>
      </c>
      <c r="HY1" t="e">
        <f>AND(Data!C34,"AAAAAGbz/+g=")</f>
        <v>#VALUE!</v>
      </c>
      <c r="HZ1" t="e">
        <f>AND(Data!D34,"AAAAAGbz/+k=")</f>
        <v>#VALUE!</v>
      </c>
      <c r="IA1">
        <f>IF(Data!35:35,"AAAAAGbz/+o=",0)</f>
        <v>0</v>
      </c>
      <c r="IB1" t="e">
        <f>AND(Data!A35,"AAAAAGbz/+s=")</f>
        <v>#VALUE!</v>
      </c>
      <c r="IC1" t="e">
        <f>AND(Data!B35,"AAAAAGbz/+w=")</f>
        <v>#VALUE!</v>
      </c>
      <c r="ID1" t="e">
        <f>AND(Data!C35,"AAAAAGbz/+0=")</f>
        <v>#VALUE!</v>
      </c>
      <c r="IE1" t="e">
        <f>AND(Data!D35,"AAAAAGbz/+4=")</f>
        <v>#VALUE!</v>
      </c>
      <c r="IF1">
        <f>IF(Data!36:36,"AAAAAGbz/+8=",0)</f>
        <v>0</v>
      </c>
      <c r="IG1" t="e">
        <f>AND(Data!A36,"AAAAAGbz//A=")</f>
        <v>#VALUE!</v>
      </c>
      <c r="IH1" t="e">
        <f>AND(Data!B36,"AAAAAGbz//E=")</f>
        <v>#VALUE!</v>
      </c>
      <c r="II1" t="e">
        <f>AND(Data!C36,"AAAAAGbz//I=")</f>
        <v>#VALUE!</v>
      </c>
      <c r="IJ1" t="e">
        <f>AND(Data!D36,"AAAAAGbz//M=")</f>
        <v>#VALUE!</v>
      </c>
      <c r="IK1">
        <f>IF(Data!37:37,"AAAAAGbz//Q=",0)</f>
        <v>0</v>
      </c>
      <c r="IL1" t="e">
        <f>AND(Data!A37,"AAAAAGbz//U=")</f>
        <v>#VALUE!</v>
      </c>
      <c r="IM1" t="e">
        <f>AND(Data!B37,"AAAAAGbz//Y=")</f>
        <v>#VALUE!</v>
      </c>
      <c r="IN1" t="e">
        <f>AND(Data!C37,"AAAAAGbz//c=")</f>
        <v>#VALUE!</v>
      </c>
      <c r="IO1" t="e">
        <f>AND(Data!D37,"AAAAAGbz//g=")</f>
        <v>#VALUE!</v>
      </c>
      <c r="IP1">
        <f>IF(Data!38:38,"AAAAAGbz//k=",0)</f>
        <v>0</v>
      </c>
      <c r="IQ1" t="e">
        <f>AND(Data!A38,"AAAAAGbz//o=")</f>
        <v>#VALUE!</v>
      </c>
      <c r="IR1" t="e">
        <f>AND(Data!B38,"AAAAAGbz//s=")</f>
        <v>#VALUE!</v>
      </c>
      <c r="IS1" t="e">
        <f>AND(Data!C38,"AAAAAGbz//w=")</f>
        <v>#VALUE!</v>
      </c>
      <c r="IT1" t="e">
        <f>AND(Data!D38,"AAAAAGbz//0=")</f>
        <v>#VALUE!</v>
      </c>
      <c r="IU1">
        <f>IF(Data!39:39,"AAAAAGbz//4=",0)</f>
        <v>0</v>
      </c>
      <c r="IV1" t="e">
        <f>AND(Data!A39,"AAAAAGbz//8=")</f>
        <v>#VALUE!</v>
      </c>
    </row>
    <row r="2" spans="1:256">
      <c r="A2" t="e">
        <f>AND(Data!B39,"AAAAAF/ufwA=")</f>
        <v>#VALUE!</v>
      </c>
      <c r="B2" t="e">
        <f>AND(Data!C39,"AAAAAF/ufwE=")</f>
        <v>#VALUE!</v>
      </c>
      <c r="C2" t="e">
        <f>AND(Data!D39,"AAAAAF/ufwI=")</f>
        <v>#VALUE!</v>
      </c>
      <c r="D2" t="e">
        <f>IF(Data!40:40,"AAAAAF/ufwM=",0)</f>
        <v>#VALUE!</v>
      </c>
      <c r="E2" t="e">
        <f>AND(Data!A40,"AAAAAF/ufwQ=")</f>
        <v>#VALUE!</v>
      </c>
      <c r="F2" t="e">
        <f>AND(Data!B40,"AAAAAF/ufwU=")</f>
        <v>#VALUE!</v>
      </c>
      <c r="G2" t="e">
        <f>AND(Data!C40,"AAAAAF/ufwY=")</f>
        <v>#VALUE!</v>
      </c>
      <c r="H2" t="e">
        <f>AND(Data!D40,"AAAAAF/ufwc=")</f>
        <v>#VALUE!</v>
      </c>
      <c r="I2">
        <f>IF(Data!41:41,"AAAAAF/ufwg=",0)</f>
        <v>0</v>
      </c>
      <c r="J2" t="e">
        <f>AND(Data!A41,"AAAAAF/ufwk=")</f>
        <v>#VALUE!</v>
      </c>
      <c r="K2" t="e">
        <f>AND(Data!B41,"AAAAAF/ufwo=")</f>
        <v>#VALUE!</v>
      </c>
      <c r="L2" t="e">
        <f>AND(Data!C41,"AAAAAF/ufws=")</f>
        <v>#VALUE!</v>
      </c>
      <c r="M2" t="e">
        <f>AND(Data!D41,"AAAAAF/ufww=")</f>
        <v>#VALUE!</v>
      </c>
      <c r="N2">
        <f>IF(Data!42:42,"AAAAAF/ufw0=",0)</f>
        <v>0</v>
      </c>
      <c r="O2" t="e">
        <f>AND(Data!A42,"AAAAAF/ufw4=")</f>
        <v>#VALUE!</v>
      </c>
      <c r="P2" t="e">
        <f>AND(Data!B42,"AAAAAF/ufw8=")</f>
        <v>#VALUE!</v>
      </c>
      <c r="Q2" t="e">
        <f>AND(Data!C42,"AAAAAF/ufxA=")</f>
        <v>#VALUE!</v>
      </c>
      <c r="R2" t="e">
        <f>AND(Data!D42,"AAAAAF/ufxE=")</f>
        <v>#VALUE!</v>
      </c>
      <c r="S2">
        <f>IF(Data!43:43,"AAAAAF/ufxI=",0)</f>
        <v>0</v>
      </c>
      <c r="T2" t="e">
        <f>AND(Data!A43,"AAAAAF/ufxM=")</f>
        <v>#VALUE!</v>
      </c>
      <c r="U2" t="e">
        <f>AND(Data!B43,"AAAAAF/ufxQ=")</f>
        <v>#VALUE!</v>
      </c>
      <c r="V2" t="e">
        <f>AND(Data!C43,"AAAAAF/ufxU=")</f>
        <v>#VALUE!</v>
      </c>
      <c r="W2" t="e">
        <f>AND(Data!D43,"AAAAAF/ufxY=")</f>
        <v>#VALUE!</v>
      </c>
      <c r="X2">
        <f>IF(Data!44:44,"AAAAAF/ufxc=",0)</f>
        <v>0</v>
      </c>
      <c r="Y2" t="e">
        <f>AND(Data!A44,"AAAAAF/ufxg=")</f>
        <v>#VALUE!</v>
      </c>
      <c r="Z2" t="e">
        <f>AND(Data!B44,"AAAAAF/ufxk=")</f>
        <v>#VALUE!</v>
      </c>
      <c r="AA2" t="e">
        <f>AND(Data!C44,"AAAAAF/ufxo=")</f>
        <v>#VALUE!</v>
      </c>
      <c r="AB2" t="e">
        <f>AND(Data!D44,"AAAAAF/ufxs=")</f>
        <v>#VALUE!</v>
      </c>
      <c r="AC2">
        <f>IF(Data!45:45,"AAAAAF/ufxw=",0)</f>
        <v>0</v>
      </c>
      <c r="AD2" t="e">
        <f>AND(Data!A45,"AAAAAF/ufx0=")</f>
        <v>#VALUE!</v>
      </c>
      <c r="AE2" t="e">
        <f>AND(Data!B45,"AAAAAF/ufx4=")</f>
        <v>#VALUE!</v>
      </c>
      <c r="AF2" t="e">
        <f>AND(Data!C45,"AAAAAF/ufx8=")</f>
        <v>#VALUE!</v>
      </c>
      <c r="AG2" t="e">
        <f>AND(Data!D45,"AAAAAF/ufyA=")</f>
        <v>#VALUE!</v>
      </c>
      <c r="AH2">
        <f>IF(Data!46:46,"AAAAAF/ufyE=",0)</f>
        <v>0</v>
      </c>
      <c r="AI2" t="e">
        <f>AND(Data!A46,"AAAAAF/ufyI=")</f>
        <v>#VALUE!</v>
      </c>
      <c r="AJ2" t="e">
        <f>AND(Data!B46,"AAAAAF/ufyM=")</f>
        <v>#VALUE!</v>
      </c>
      <c r="AK2" t="e">
        <f>AND(Data!C46,"AAAAAF/ufyQ=")</f>
        <v>#VALUE!</v>
      </c>
      <c r="AL2" t="e">
        <f>AND(Data!D46,"AAAAAF/ufyU=")</f>
        <v>#VALUE!</v>
      </c>
      <c r="AM2">
        <f>IF(Data!47:47,"AAAAAF/ufyY=",0)</f>
        <v>0</v>
      </c>
      <c r="AN2" t="e">
        <f>AND(Data!A47,"AAAAAF/ufyc=")</f>
        <v>#VALUE!</v>
      </c>
      <c r="AO2" t="e">
        <f>AND(Data!B47,"AAAAAF/ufyg=")</f>
        <v>#VALUE!</v>
      </c>
      <c r="AP2" t="e">
        <f>AND(Data!C47,"AAAAAF/ufyk=")</f>
        <v>#VALUE!</v>
      </c>
      <c r="AQ2" t="e">
        <f>AND(Data!D47,"AAAAAF/ufyo=")</f>
        <v>#VALUE!</v>
      </c>
      <c r="AR2">
        <f>IF(Data!48:48,"AAAAAF/ufys=",0)</f>
        <v>0</v>
      </c>
      <c r="AS2" t="e">
        <f>AND(Data!A48,"AAAAAF/ufyw=")</f>
        <v>#VALUE!</v>
      </c>
      <c r="AT2" t="e">
        <f>AND(Data!B48,"AAAAAF/ufy0=")</f>
        <v>#VALUE!</v>
      </c>
      <c r="AU2" t="e">
        <f>AND(Data!C48,"AAAAAF/ufy4=")</f>
        <v>#VALUE!</v>
      </c>
      <c r="AV2" t="e">
        <f>AND(Data!D48,"AAAAAF/ufy8=")</f>
        <v>#VALUE!</v>
      </c>
      <c r="AW2">
        <f>IF(Data!49:49,"AAAAAF/ufzA=",0)</f>
        <v>0</v>
      </c>
      <c r="AX2" t="e">
        <f>AND(Data!A49,"AAAAAF/ufzE=")</f>
        <v>#VALUE!</v>
      </c>
      <c r="AY2" t="e">
        <f>AND(Data!B49,"AAAAAF/ufzI=")</f>
        <v>#VALUE!</v>
      </c>
      <c r="AZ2" t="e">
        <f>AND(Data!C49,"AAAAAF/ufzM=")</f>
        <v>#VALUE!</v>
      </c>
      <c r="BA2" t="e">
        <f>AND(Data!D49,"AAAAAF/ufzQ=")</f>
        <v>#VALUE!</v>
      </c>
      <c r="BB2">
        <f>IF(Data!50:50,"AAAAAF/ufzU=",0)</f>
        <v>0</v>
      </c>
      <c r="BC2" t="e">
        <f>AND(Data!A50,"AAAAAF/ufzY=")</f>
        <v>#VALUE!</v>
      </c>
      <c r="BD2" t="e">
        <f>AND(Data!B50,"AAAAAF/ufzc=")</f>
        <v>#VALUE!</v>
      </c>
      <c r="BE2" t="e">
        <f>AND(Data!C50,"AAAAAF/ufzg=")</f>
        <v>#VALUE!</v>
      </c>
      <c r="BF2" t="e">
        <f>AND(Data!D50,"AAAAAF/ufzk=")</f>
        <v>#VALUE!</v>
      </c>
      <c r="BG2">
        <f>IF(Data!51:51,"AAAAAF/ufzo=",0)</f>
        <v>0</v>
      </c>
      <c r="BH2" t="e">
        <f>AND(Data!A51,"AAAAAF/ufzs=")</f>
        <v>#VALUE!</v>
      </c>
      <c r="BI2" t="e">
        <f>AND(Data!B51,"AAAAAF/ufzw=")</f>
        <v>#VALUE!</v>
      </c>
      <c r="BJ2" t="e">
        <f>AND(Data!C51,"AAAAAF/ufz0=")</f>
        <v>#VALUE!</v>
      </c>
      <c r="BK2" t="e">
        <f>AND(Data!D51,"AAAAAF/ufz4=")</f>
        <v>#VALUE!</v>
      </c>
      <c r="BL2">
        <f>IF(Data!52:52,"AAAAAF/ufz8=",0)</f>
        <v>0</v>
      </c>
      <c r="BM2" t="e">
        <f>AND(Data!A52,"AAAAAF/uf0A=")</f>
        <v>#VALUE!</v>
      </c>
      <c r="BN2" t="e">
        <f>AND(Data!B52,"AAAAAF/uf0E=")</f>
        <v>#VALUE!</v>
      </c>
      <c r="BO2" t="e">
        <f>AND(Data!C52,"AAAAAF/uf0I=")</f>
        <v>#VALUE!</v>
      </c>
      <c r="BP2" t="e">
        <f>AND(Data!D52,"AAAAAF/uf0M=")</f>
        <v>#VALUE!</v>
      </c>
      <c r="BQ2">
        <f>IF(Data!53:53,"AAAAAF/uf0Q=",0)</f>
        <v>0</v>
      </c>
      <c r="BR2" t="e">
        <f>AND(Data!A53,"AAAAAF/uf0U=")</f>
        <v>#VALUE!</v>
      </c>
      <c r="BS2" t="e">
        <f>AND(Data!B53,"AAAAAF/uf0Y=")</f>
        <v>#VALUE!</v>
      </c>
      <c r="BT2" t="e">
        <f>AND(Data!C53,"AAAAAF/uf0c=")</f>
        <v>#VALUE!</v>
      </c>
      <c r="BU2" t="e">
        <f>AND(Data!D53,"AAAAAF/uf0g=")</f>
        <v>#VALUE!</v>
      </c>
      <c r="BV2">
        <f>IF(Data!54:54,"AAAAAF/uf0k=",0)</f>
        <v>0</v>
      </c>
      <c r="BW2" t="e">
        <f>AND(Data!A54,"AAAAAF/uf0o=")</f>
        <v>#VALUE!</v>
      </c>
      <c r="BX2" t="e">
        <f>AND(Data!B54,"AAAAAF/uf0s=")</f>
        <v>#VALUE!</v>
      </c>
      <c r="BY2" t="e">
        <f>AND(Data!C54,"AAAAAF/uf0w=")</f>
        <v>#VALUE!</v>
      </c>
      <c r="BZ2" t="e">
        <f>AND(Data!D54,"AAAAAF/uf00=")</f>
        <v>#VALUE!</v>
      </c>
      <c r="CA2">
        <f>IF(Data!55:55,"AAAAAF/uf04=",0)</f>
        <v>0</v>
      </c>
      <c r="CB2" t="e">
        <f>AND(Data!A55,"AAAAAF/uf08=")</f>
        <v>#VALUE!</v>
      </c>
      <c r="CC2" t="e">
        <f>AND(Data!B55,"AAAAAF/uf1A=")</f>
        <v>#VALUE!</v>
      </c>
      <c r="CD2" t="e">
        <f>AND(Data!C55,"AAAAAF/uf1E=")</f>
        <v>#VALUE!</v>
      </c>
      <c r="CE2" t="e">
        <f>AND(Data!D55,"AAAAAF/uf1I=")</f>
        <v>#VALUE!</v>
      </c>
      <c r="CF2">
        <f>IF(Data!56:56,"AAAAAF/uf1M=",0)</f>
        <v>0</v>
      </c>
      <c r="CG2" t="e">
        <f>AND(Data!A56,"AAAAAF/uf1Q=")</f>
        <v>#VALUE!</v>
      </c>
      <c r="CH2" t="e">
        <f>AND(Data!B56,"AAAAAF/uf1U=")</f>
        <v>#VALUE!</v>
      </c>
      <c r="CI2" t="e">
        <f>AND(Data!C56,"AAAAAF/uf1Y=")</f>
        <v>#VALUE!</v>
      </c>
      <c r="CJ2" t="e">
        <f>AND(Data!D56,"AAAAAF/uf1c=")</f>
        <v>#VALUE!</v>
      </c>
      <c r="CK2">
        <f>IF(Data!57:57,"AAAAAF/uf1g=",0)</f>
        <v>0</v>
      </c>
      <c r="CL2" t="e">
        <f>AND(Data!A57,"AAAAAF/uf1k=")</f>
        <v>#VALUE!</v>
      </c>
      <c r="CM2" t="e">
        <f>AND(Data!B57,"AAAAAF/uf1o=")</f>
        <v>#VALUE!</v>
      </c>
      <c r="CN2" t="e">
        <f>AND(Data!C57,"AAAAAF/uf1s=")</f>
        <v>#VALUE!</v>
      </c>
      <c r="CO2" t="e">
        <f>AND(Data!D57,"AAAAAF/uf1w=")</f>
        <v>#VALUE!</v>
      </c>
      <c r="CP2">
        <f>IF(Data!58:58,"AAAAAF/uf10=",0)</f>
        <v>0</v>
      </c>
      <c r="CQ2" t="e">
        <f>AND(Data!A58,"AAAAAF/uf14=")</f>
        <v>#VALUE!</v>
      </c>
      <c r="CR2" t="e">
        <f>AND(Data!B58,"AAAAAF/uf18=")</f>
        <v>#VALUE!</v>
      </c>
      <c r="CS2" t="e">
        <f>AND(Data!C58,"AAAAAF/uf2A=")</f>
        <v>#VALUE!</v>
      </c>
      <c r="CT2" t="e">
        <f>AND(Data!D58,"AAAAAF/uf2E=")</f>
        <v>#VALUE!</v>
      </c>
      <c r="CU2">
        <f>IF(Data!59:59,"AAAAAF/uf2I=",0)</f>
        <v>0</v>
      </c>
      <c r="CV2" t="e">
        <f>AND(Data!A59,"AAAAAF/uf2M=")</f>
        <v>#VALUE!</v>
      </c>
      <c r="CW2" t="e">
        <f>AND(Data!B59,"AAAAAF/uf2Q=")</f>
        <v>#VALUE!</v>
      </c>
      <c r="CX2" t="e">
        <f>AND(Data!C59,"AAAAAF/uf2U=")</f>
        <v>#VALUE!</v>
      </c>
      <c r="CY2" t="e">
        <f>AND(Data!D59,"AAAAAF/uf2Y=")</f>
        <v>#VALUE!</v>
      </c>
      <c r="CZ2">
        <f>IF(Data!60:60,"AAAAAF/uf2c=",0)</f>
        <v>0</v>
      </c>
      <c r="DA2" t="e">
        <f>AND(Data!A60,"AAAAAF/uf2g=")</f>
        <v>#VALUE!</v>
      </c>
      <c r="DB2" t="e">
        <f>AND(Data!B60,"AAAAAF/uf2k=")</f>
        <v>#VALUE!</v>
      </c>
      <c r="DC2" t="e">
        <f>AND(Data!C60,"AAAAAF/uf2o=")</f>
        <v>#VALUE!</v>
      </c>
      <c r="DD2" t="e">
        <f>AND(Data!D60,"AAAAAF/uf2s=")</f>
        <v>#VALUE!</v>
      </c>
      <c r="DE2" t="e">
        <f>IF(Data!A:A,"AAAAAF/uf2w=",0)</f>
        <v>#VALUE!</v>
      </c>
      <c r="DF2" t="e">
        <f>IF(Data!B:B,"AAAAAF/uf20=",0)</f>
        <v>#VALUE!</v>
      </c>
      <c r="DG2" t="e">
        <f>IF(Data!C:C,"AAAAAF/uf24=",0)</f>
        <v>#VALUE!</v>
      </c>
      <c r="DH2" t="e">
        <f>IF(Data!D:D,"AAAAAF/uf28=",0)</f>
        <v>#VALUE!</v>
      </c>
      <c r="DI2" t="e">
        <f>IF(Data!E:E,"AAAAAF/uf3A=",0)</f>
        <v>#VALUE!</v>
      </c>
      <c r="DJ2" t="e">
        <f>IF(Data!F:F,"AAAAAF/uf3E=",0)</f>
        <v>#VALUE!</v>
      </c>
      <c r="DK2">
        <f>IF(Data!G:G,"AAAAAF/uf3I=",0)</f>
        <v>0</v>
      </c>
      <c r="DL2" t="e">
        <f>IF(Data!H:H,"AAAAAF/uf3M=",0)</f>
        <v>#VALUE!</v>
      </c>
      <c r="DM2" t="e">
        <f>IF(#REF!,"AAAAAF/uf3Q=",0)</f>
        <v>#REF!</v>
      </c>
      <c r="DN2" t="e">
        <f>AND(#REF!,"AAAAAF/uf3U=")</f>
        <v>#REF!</v>
      </c>
      <c r="DO2" t="e">
        <f>AND(#REF!,"AAAAAF/uf3Y=")</f>
        <v>#REF!</v>
      </c>
      <c r="DP2" t="e">
        <f>AND(#REF!,"AAAAAF/uf3c=")</f>
        <v>#REF!</v>
      </c>
      <c r="DQ2" t="e">
        <f>AND(#REF!,"AAAAAF/uf3g=")</f>
        <v>#REF!</v>
      </c>
      <c r="DR2" t="e">
        <f>AND(#REF!,"AAAAAF/uf3k=")</f>
        <v>#REF!</v>
      </c>
      <c r="DS2" t="e">
        <f>AND(#REF!,"AAAAAF/uf3o=")</f>
        <v>#REF!</v>
      </c>
      <c r="DT2" t="e">
        <f>AND(#REF!,"AAAAAF/uf3s=")</f>
        <v>#REF!</v>
      </c>
      <c r="DU2" t="e">
        <f>AND(#REF!,"AAAAAF/uf3w=")</f>
        <v>#REF!</v>
      </c>
      <c r="DV2" t="e">
        <f>AND(#REF!,"AAAAAF/uf30=")</f>
        <v>#REF!</v>
      </c>
      <c r="DW2" t="e">
        <f>AND(#REF!,"AAAAAF/uf34=")</f>
        <v>#REF!</v>
      </c>
      <c r="DX2" t="e">
        <f>AND(#REF!,"AAAAAF/uf38=")</f>
        <v>#REF!</v>
      </c>
      <c r="DY2" t="e">
        <f>AND(#REF!,"AAAAAF/uf4A=")</f>
        <v>#REF!</v>
      </c>
      <c r="DZ2" t="e">
        <f>IF(#REF!,"AAAAAF/uf4E=",0)</f>
        <v>#REF!</v>
      </c>
      <c r="EA2" t="e">
        <f>AND(#REF!,"AAAAAF/uf4I=")</f>
        <v>#REF!</v>
      </c>
      <c r="EB2" t="e">
        <f>AND(#REF!,"AAAAAF/uf4M=")</f>
        <v>#REF!</v>
      </c>
      <c r="EC2" t="e">
        <f>AND(#REF!,"AAAAAF/uf4Q=")</f>
        <v>#REF!</v>
      </c>
      <c r="ED2" t="e">
        <f>AND(#REF!,"AAAAAF/uf4U=")</f>
        <v>#REF!</v>
      </c>
      <c r="EE2" t="e">
        <f>AND(#REF!,"AAAAAF/uf4Y=")</f>
        <v>#REF!</v>
      </c>
      <c r="EF2" t="e">
        <f>AND(#REF!,"AAAAAF/uf4c=")</f>
        <v>#REF!</v>
      </c>
      <c r="EG2" t="e">
        <f>AND(#REF!,"AAAAAF/uf4g=")</f>
        <v>#REF!</v>
      </c>
      <c r="EH2" t="e">
        <f>AND(#REF!,"AAAAAF/uf4k=")</f>
        <v>#REF!</v>
      </c>
      <c r="EI2" t="e">
        <f>AND(#REF!,"AAAAAF/uf4o=")</f>
        <v>#REF!</v>
      </c>
      <c r="EJ2" t="e">
        <f>AND(#REF!,"AAAAAF/uf4s=")</f>
        <v>#REF!</v>
      </c>
      <c r="EK2" t="e">
        <f>AND(#REF!,"AAAAAF/uf4w=")</f>
        <v>#REF!</v>
      </c>
      <c r="EL2" t="e">
        <f>AND(#REF!,"AAAAAF/uf40=")</f>
        <v>#REF!</v>
      </c>
      <c r="EM2" t="e">
        <f>IF(#REF!,"AAAAAF/uf44=",0)</f>
        <v>#REF!</v>
      </c>
      <c r="EN2" t="e">
        <f>AND(#REF!,"AAAAAF/uf48=")</f>
        <v>#REF!</v>
      </c>
      <c r="EO2" t="e">
        <f>AND(#REF!,"AAAAAF/uf5A=")</f>
        <v>#REF!</v>
      </c>
      <c r="EP2" t="e">
        <f>AND(#REF!,"AAAAAF/uf5E=")</f>
        <v>#REF!</v>
      </c>
      <c r="EQ2" t="e">
        <f>AND(#REF!,"AAAAAF/uf5I=")</f>
        <v>#REF!</v>
      </c>
      <c r="ER2" t="e">
        <f>AND(#REF!,"AAAAAF/uf5M=")</f>
        <v>#REF!</v>
      </c>
      <c r="ES2" t="e">
        <f>AND(#REF!,"AAAAAF/uf5Q=")</f>
        <v>#REF!</v>
      </c>
      <c r="ET2" t="e">
        <f>AND(#REF!,"AAAAAF/uf5U=")</f>
        <v>#REF!</v>
      </c>
      <c r="EU2" t="e">
        <f>AND(#REF!,"AAAAAF/uf5Y=")</f>
        <v>#REF!</v>
      </c>
      <c r="EV2" t="e">
        <f>AND(#REF!,"AAAAAF/uf5c=")</f>
        <v>#REF!</v>
      </c>
      <c r="EW2" t="e">
        <f>AND(#REF!,"AAAAAF/uf5g=")</f>
        <v>#REF!</v>
      </c>
      <c r="EX2" t="e">
        <f>AND(#REF!,"AAAAAF/uf5k=")</f>
        <v>#REF!</v>
      </c>
      <c r="EY2" t="e">
        <f>AND(#REF!,"AAAAAF/uf5o=")</f>
        <v>#REF!</v>
      </c>
      <c r="EZ2" t="e">
        <f>IF(#REF!,"AAAAAF/uf5s=",0)</f>
        <v>#REF!</v>
      </c>
      <c r="FA2" t="e">
        <f>AND(#REF!,"AAAAAF/uf5w=")</f>
        <v>#REF!</v>
      </c>
      <c r="FB2" t="e">
        <f>AND(#REF!,"AAAAAF/uf50=")</f>
        <v>#REF!</v>
      </c>
      <c r="FC2" t="e">
        <f>AND(#REF!,"AAAAAF/uf54=")</f>
        <v>#REF!</v>
      </c>
      <c r="FD2" t="e">
        <f>AND(#REF!,"AAAAAF/uf58=")</f>
        <v>#REF!</v>
      </c>
      <c r="FE2" t="e">
        <f>AND(#REF!,"AAAAAF/uf6A=")</f>
        <v>#REF!</v>
      </c>
      <c r="FF2" t="e">
        <f>AND(#REF!,"AAAAAF/uf6E=")</f>
        <v>#REF!</v>
      </c>
      <c r="FG2" t="e">
        <f>AND(#REF!,"AAAAAF/uf6I=")</f>
        <v>#REF!</v>
      </c>
      <c r="FH2" t="e">
        <f>AND(#REF!,"AAAAAF/uf6M=")</f>
        <v>#REF!</v>
      </c>
      <c r="FI2" t="e">
        <f>AND(#REF!,"AAAAAF/uf6Q=")</f>
        <v>#REF!</v>
      </c>
      <c r="FJ2" t="e">
        <f>AND(#REF!,"AAAAAF/uf6U=")</f>
        <v>#REF!</v>
      </c>
      <c r="FK2" t="e">
        <f>AND(#REF!,"AAAAAF/uf6Y=")</f>
        <v>#REF!</v>
      </c>
      <c r="FL2" t="e">
        <f>AND(#REF!,"AAAAAF/uf6c=")</f>
        <v>#REF!</v>
      </c>
      <c r="FM2" t="e">
        <f>IF(#REF!,"AAAAAF/uf6g=",0)</f>
        <v>#REF!</v>
      </c>
      <c r="FN2" t="e">
        <f>AND(#REF!,"AAAAAF/uf6k=")</f>
        <v>#REF!</v>
      </c>
      <c r="FO2" t="e">
        <f>AND(#REF!,"AAAAAF/uf6o=")</f>
        <v>#REF!</v>
      </c>
      <c r="FP2" t="e">
        <f>AND(#REF!,"AAAAAF/uf6s=")</f>
        <v>#REF!</v>
      </c>
      <c r="FQ2" t="e">
        <f>AND(#REF!,"AAAAAF/uf6w=")</f>
        <v>#REF!</v>
      </c>
      <c r="FR2" t="e">
        <f>AND(#REF!,"AAAAAF/uf60=")</f>
        <v>#REF!</v>
      </c>
      <c r="FS2" t="e">
        <f>AND(#REF!,"AAAAAF/uf64=")</f>
        <v>#REF!</v>
      </c>
      <c r="FT2" t="e">
        <f>AND(#REF!,"AAAAAF/uf68=")</f>
        <v>#REF!</v>
      </c>
      <c r="FU2" t="e">
        <f>AND(#REF!,"AAAAAF/uf7A=")</f>
        <v>#REF!</v>
      </c>
      <c r="FV2" t="e">
        <f>AND(#REF!,"AAAAAF/uf7E=")</f>
        <v>#REF!</v>
      </c>
      <c r="FW2" t="e">
        <f>AND(#REF!,"AAAAAF/uf7I=")</f>
        <v>#REF!</v>
      </c>
      <c r="FX2" t="e">
        <f>AND(#REF!,"AAAAAF/uf7M=")</f>
        <v>#REF!</v>
      </c>
      <c r="FY2" t="e">
        <f>AND(#REF!,"AAAAAF/uf7Q=")</f>
        <v>#REF!</v>
      </c>
      <c r="FZ2" t="e">
        <f>IF(#REF!,"AAAAAF/uf7U=",0)</f>
        <v>#REF!</v>
      </c>
      <c r="GA2" t="e">
        <f>AND(#REF!,"AAAAAF/uf7Y=")</f>
        <v>#REF!</v>
      </c>
      <c r="GB2" t="e">
        <f>AND(#REF!,"AAAAAF/uf7c=")</f>
        <v>#REF!</v>
      </c>
      <c r="GC2" t="e">
        <f>AND(#REF!,"AAAAAF/uf7g=")</f>
        <v>#REF!</v>
      </c>
      <c r="GD2" t="e">
        <f>AND(#REF!,"AAAAAF/uf7k=")</f>
        <v>#REF!</v>
      </c>
      <c r="GE2" t="e">
        <f>AND(#REF!,"AAAAAF/uf7o=")</f>
        <v>#REF!</v>
      </c>
      <c r="GF2" t="e">
        <f>AND(#REF!,"AAAAAF/uf7s=")</f>
        <v>#REF!</v>
      </c>
      <c r="GG2" t="e">
        <f>AND(#REF!,"AAAAAF/uf7w=")</f>
        <v>#REF!</v>
      </c>
      <c r="GH2" t="e">
        <f>AND(#REF!,"AAAAAF/uf70=")</f>
        <v>#REF!</v>
      </c>
      <c r="GI2" t="e">
        <f>AND(#REF!,"AAAAAF/uf74=")</f>
        <v>#REF!</v>
      </c>
      <c r="GJ2" t="e">
        <f>AND(#REF!,"AAAAAF/uf78=")</f>
        <v>#REF!</v>
      </c>
      <c r="GK2" t="e">
        <f>AND(#REF!,"AAAAAF/uf8A=")</f>
        <v>#REF!</v>
      </c>
      <c r="GL2" t="e">
        <f>AND(#REF!,"AAAAAF/uf8E=")</f>
        <v>#REF!</v>
      </c>
      <c r="GM2" t="e">
        <f>IF(#REF!,"AAAAAF/uf8I=",0)</f>
        <v>#REF!</v>
      </c>
      <c r="GN2" t="e">
        <f>AND(#REF!,"AAAAAF/uf8M=")</f>
        <v>#REF!</v>
      </c>
      <c r="GO2" t="e">
        <f>AND(#REF!,"AAAAAF/uf8Q=")</f>
        <v>#REF!</v>
      </c>
      <c r="GP2" t="e">
        <f>AND(#REF!,"AAAAAF/uf8U=")</f>
        <v>#REF!</v>
      </c>
      <c r="GQ2" t="e">
        <f>AND(#REF!,"AAAAAF/uf8Y=")</f>
        <v>#REF!</v>
      </c>
      <c r="GR2" t="e">
        <f>AND(#REF!,"AAAAAF/uf8c=")</f>
        <v>#REF!</v>
      </c>
      <c r="GS2" t="e">
        <f>AND(#REF!,"AAAAAF/uf8g=")</f>
        <v>#REF!</v>
      </c>
      <c r="GT2" t="e">
        <f>AND(#REF!,"AAAAAF/uf8k=")</f>
        <v>#REF!</v>
      </c>
      <c r="GU2" t="e">
        <f>AND(#REF!,"AAAAAF/uf8o=")</f>
        <v>#REF!</v>
      </c>
      <c r="GV2" t="e">
        <f>AND(#REF!,"AAAAAF/uf8s=")</f>
        <v>#REF!</v>
      </c>
      <c r="GW2" t="e">
        <f>AND(#REF!,"AAAAAF/uf8w=")</f>
        <v>#REF!</v>
      </c>
      <c r="GX2" t="e">
        <f>AND(#REF!,"AAAAAF/uf80=")</f>
        <v>#REF!</v>
      </c>
      <c r="GY2" t="e">
        <f>AND(#REF!,"AAAAAF/uf84=")</f>
        <v>#REF!</v>
      </c>
      <c r="GZ2" t="e">
        <f>IF(#REF!,"AAAAAF/uf88=",0)</f>
        <v>#REF!</v>
      </c>
      <c r="HA2" t="e">
        <f>AND(#REF!,"AAAAAF/uf9A=")</f>
        <v>#REF!</v>
      </c>
      <c r="HB2" t="e">
        <f>AND(#REF!,"AAAAAF/uf9E=")</f>
        <v>#REF!</v>
      </c>
      <c r="HC2" t="e">
        <f>AND(#REF!,"AAAAAF/uf9I=")</f>
        <v>#REF!</v>
      </c>
      <c r="HD2" t="e">
        <f>AND(#REF!,"AAAAAF/uf9M=")</f>
        <v>#REF!</v>
      </c>
      <c r="HE2" t="e">
        <f>AND(#REF!,"AAAAAF/uf9Q=")</f>
        <v>#REF!</v>
      </c>
      <c r="HF2" t="e">
        <f>AND(#REF!,"AAAAAF/uf9U=")</f>
        <v>#REF!</v>
      </c>
      <c r="HG2" t="e">
        <f>AND(#REF!,"AAAAAF/uf9Y=")</f>
        <v>#REF!</v>
      </c>
      <c r="HH2" t="e">
        <f>AND(#REF!,"AAAAAF/uf9c=")</f>
        <v>#REF!</v>
      </c>
      <c r="HI2" t="e">
        <f>AND(#REF!,"AAAAAF/uf9g=")</f>
        <v>#REF!</v>
      </c>
      <c r="HJ2" t="e">
        <f>AND(#REF!,"AAAAAF/uf9k=")</f>
        <v>#REF!</v>
      </c>
      <c r="HK2" t="e">
        <f>AND(#REF!,"AAAAAF/uf9o=")</f>
        <v>#REF!</v>
      </c>
      <c r="HL2" t="e">
        <f>AND(#REF!,"AAAAAF/uf9s=")</f>
        <v>#REF!</v>
      </c>
      <c r="HM2" t="e">
        <f>IF(#REF!,"AAAAAF/uf9w=",0)</f>
        <v>#REF!</v>
      </c>
      <c r="HN2" t="e">
        <f>AND(#REF!,"AAAAAF/uf90=")</f>
        <v>#REF!</v>
      </c>
      <c r="HO2" t="e">
        <f>AND(#REF!,"AAAAAF/uf94=")</f>
        <v>#REF!</v>
      </c>
      <c r="HP2" t="e">
        <f>AND(#REF!,"AAAAAF/uf98=")</f>
        <v>#REF!</v>
      </c>
      <c r="HQ2" t="e">
        <f>AND(#REF!,"AAAAAF/uf+A=")</f>
        <v>#REF!</v>
      </c>
      <c r="HR2" t="e">
        <f>AND(#REF!,"AAAAAF/uf+E=")</f>
        <v>#REF!</v>
      </c>
      <c r="HS2" t="e">
        <f>AND(#REF!,"AAAAAF/uf+I=")</f>
        <v>#REF!</v>
      </c>
      <c r="HT2" t="e">
        <f>AND(#REF!,"AAAAAF/uf+M=")</f>
        <v>#REF!</v>
      </c>
      <c r="HU2" t="e">
        <f>AND(#REF!,"AAAAAF/uf+Q=")</f>
        <v>#REF!</v>
      </c>
      <c r="HV2" t="e">
        <f>AND(#REF!,"AAAAAF/uf+U=")</f>
        <v>#REF!</v>
      </c>
      <c r="HW2" t="e">
        <f>AND(#REF!,"AAAAAF/uf+Y=")</f>
        <v>#REF!</v>
      </c>
      <c r="HX2" t="e">
        <f>AND(#REF!,"AAAAAF/uf+c=")</f>
        <v>#REF!</v>
      </c>
      <c r="HY2" t="e">
        <f>AND(#REF!,"AAAAAF/uf+g=")</f>
        <v>#REF!</v>
      </c>
      <c r="HZ2" t="e">
        <f>IF(#REF!,"AAAAAF/uf+k=",0)</f>
        <v>#REF!</v>
      </c>
      <c r="IA2" t="e">
        <f>AND(#REF!,"AAAAAF/uf+o=")</f>
        <v>#REF!</v>
      </c>
      <c r="IB2" t="e">
        <f>AND(#REF!,"AAAAAF/uf+s=")</f>
        <v>#REF!</v>
      </c>
      <c r="IC2" t="e">
        <f>AND(#REF!,"AAAAAF/uf+w=")</f>
        <v>#REF!</v>
      </c>
      <c r="ID2" t="e">
        <f>AND(#REF!,"AAAAAF/uf+0=")</f>
        <v>#REF!</v>
      </c>
      <c r="IE2" t="e">
        <f>AND(#REF!,"AAAAAF/uf+4=")</f>
        <v>#REF!</v>
      </c>
      <c r="IF2" t="e">
        <f>AND(#REF!,"AAAAAF/uf+8=")</f>
        <v>#REF!</v>
      </c>
      <c r="IG2" t="e">
        <f>AND(#REF!,"AAAAAF/uf/A=")</f>
        <v>#REF!</v>
      </c>
      <c r="IH2" t="e">
        <f>AND(#REF!,"AAAAAF/uf/E=")</f>
        <v>#REF!</v>
      </c>
      <c r="II2" t="e">
        <f>AND(#REF!,"AAAAAF/uf/I=")</f>
        <v>#REF!</v>
      </c>
      <c r="IJ2" t="e">
        <f>AND(#REF!,"AAAAAF/uf/M=")</f>
        <v>#REF!</v>
      </c>
      <c r="IK2" t="e">
        <f>AND(#REF!,"AAAAAF/uf/Q=")</f>
        <v>#REF!</v>
      </c>
      <c r="IL2" t="e">
        <f>AND(#REF!,"AAAAAF/uf/U=")</f>
        <v>#REF!</v>
      </c>
      <c r="IM2" t="e">
        <f>IF(#REF!,"AAAAAF/uf/Y=",0)</f>
        <v>#REF!</v>
      </c>
      <c r="IN2" t="e">
        <f>AND(#REF!,"AAAAAF/uf/c=")</f>
        <v>#REF!</v>
      </c>
      <c r="IO2" t="e">
        <f>AND(#REF!,"AAAAAF/uf/g=")</f>
        <v>#REF!</v>
      </c>
      <c r="IP2" t="e">
        <f>AND(#REF!,"AAAAAF/uf/k=")</f>
        <v>#REF!</v>
      </c>
      <c r="IQ2" t="e">
        <f>AND(#REF!,"AAAAAF/uf/o=")</f>
        <v>#REF!</v>
      </c>
      <c r="IR2" t="e">
        <f>AND(#REF!,"AAAAAF/uf/s=")</f>
        <v>#REF!</v>
      </c>
      <c r="IS2" t="e">
        <f>AND(#REF!,"AAAAAF/uf/w=")</f>
        <v>#REF!</v>
      </c>
      <c r="IT2" t="e">
        <f>AND(#REF!,"AAAAAF/uf/0=")</f>
        <v>#REF!</v>
      </c>
      <c r="IU2" t="e">
        <f>AND(#REF!,"AAAAAF/uf/4=")</f>
        <v>#REF!</v>
      </c>
      <c r="IV2" t="e">
        <f>AND(#REF!,"AAAAAF/uf/8=")</f>
        <v>#REF!</v>
      </c>
    </row>
    <row r="3" spans="1:256">
      <c r="A3" t="e">
        <f>AND(#REF!,"AAAAADf5zwA=")</f>
        <v>#REF!</v>
      </c>
      <c r="B3" t="e">
        <f>AND(#REF!,"AAAAADf5zwE=")</f>
        <v>#REF!</v>
      </c>
      <c r="C3" t="e">
        <f>AND(#REF!,"AAAAADf5zwI=")</f>
        <v>#REF!</v>
      </c>
      <c r="D3" t="e">
        <f>IF(#REF!,"AAAAADf5zwM=",0)</f>
        <v>#REF!</v>
      </c>
      <c r="E3" t="e">
        <f>AND(#REF!,"AAAAADf5zwQ=")</f>
        <v>#REF!</v>
      </c>
      <c r="F3" t="e">
        <f>AND(#REF!,"AAAAADf5zwU=")</f>
        <v>#REF!</v>
      </c>
      <c r="G3" t="e">
        <f>AND(#REF!,"AAAAADf5zwY=")</f>
        <v>#REF!</v>
      </c>
      <c r="H3" t="e">
        <f>AND(#REF!,"AAAAADf5zwc=")</f>
        <v>#REF!</v>
      </c>
      <c r="I3" t="e">
        <f>AND(#REF!,"AAAAADf5zwg=")</f>
        <v>#REF!</v>
      </c>
      <c r="J3" t="e">
        <f>AND(#REF!,"AAAAADf5zwk=")</f>
        <v>#REF!</v>
      </c>
      <c r="K3" t="e">
        <f>AND(#REF!,"AAAAADf5zwo=")</f>
        <v>#REF!</v>
      </c>
      <c r="L3" t="e">
        <f>AND(#REF!,"AAAAADf5zws=")</f>
        <v>#REF!</v>
      </c>
      <c r="M3" t="e">
        <f>AND(#REF!,"AAAAADf5zww=")</f>
        <v>#REF!</v>
      </c>
      <c r="N3" t="e">
        <f>AND(#REF!,"AAAAADf5zw0=")</f>
        <v>#REF!</v>
      </c>
      <c r="O3" t="e">
        <f>AND(#REF!,"AAAAADf5zw4=")</f>
        <v>#REF!</v>
      </c>
      <c r="P3" t="e">
        <f>AND(#REF!,"AAAAADf5zw8=")</f>
        <v>#REF!</v>
      </c>
      <c r="Q3" t="e">
        <f>IF(#REF!,"AAAAADf5zxA=",0)</f>
        <v>#REF!</v>
      </c>
      <c r="R3" t="e">
        <f>AND(#REF!,"AAAAADf5zxE=")</f>
        <v>#REF!</v>
      </c>
      <c r="S3" t="e">
        <f>AND(#REF!,"AAAAADf5zxI=")</f>
        <v>#REF!</v>
      </c>
      <c r="T3" t="e">
        <f>AND(#REF!,"AAAAADf5zxM=")</f>
        <v>#REF!</v>
      </c>
      <c r="U3" t="e">
        <f>AND(#REF!,"AAAAADf5zxQ=")</f>
        <v>#REF!</v>
      </c>
      <c r="V3" t="e">
        <f>AND(#REF!,"AAAAADf5zxU=")</f>
        <v>#REF!</v>
      </c>
      <c r="W3" t="e">
        <f>AND(#REF!,"AAAAADf5zxY=")</f>
        <v>#REF!</v>
      </c>
      <c r="X3" t="e">
        <f>AND(#REF!,"AAAAADf5zxc=")</f>
        <v>#REF!</v>
      </c>
      <c r="Y3" t="e">
        <f>AND(#REF!,"AAAAADf5zxg=")</f>
        <v>#REF!</v>
      </c>
      <c r="Z3" t="e">
        <f>AND(#REF!,"AAAAADf5zxk=")</f>
        <v>#REF!</v>
      </c>
      <c r="AA3" t="e">
        <f>AND(#REF!,"AAAAADf5zxo=")</f>
        <v>#REF!</v>
      </c>
      <c r="AB3" t="e">
        <f>AND(#REF!,"AAAAADf5zxs=")</f>
        <v>#REF!</v>
      </c>
      <c r="AC3" t="e">
        <f>AND(#REF!,"AAAAADf5zxw=")</f>
        <v>#REF!</v>
      </c>
      <c r="AD3" t="e">
        <f>IF(#REF!,"AAAAADf5zx0=",0)</f>
        <v>#REF!</v>
      </c>
      <c r="AE3" t="e">
        <f>AND(#REF!,"AAAAADf5zx4=")</f>
        <v>#REF!</v>
      </c>
      <c r="AF3" t="e">
        <f>AND(#REF!,"AAAAADf5zx8=")</f>
        <v>#REF!</v>
      </c>
      <c r="AG3" t="e">
        <f>AND(#REF!,"AAAAADf5zyA=")</f>
        <v>#REF!</v>
      </c>
      <c r="AH3" t="e">
        <f>AND(#REF!,"AAAAADf5zyE=")</f>
        <v>#REF!</v>
      </c>
      <c r="AI3" t="e">
        <f>AND(#REF!,"AAAAADf5zyI=")</f>
        <v>#REF!</v>
      </c>
      <c r="AJ3" t="e">
        <f>AND(#REF!,"AAAAADf5zyM=")</f>
        <v>#REF!</v>
      </c>
      <c r="AK3" t="e">
        <f>AND(#REF!,"AAAAADf5zyQ=")</f>
        <v>#REF!</v>
      </c>
      <c r="AL3" t="e">
        <f>AND(#REF!,"AAAAADf5zyU=")</f>
        <v>#REF!</v>
      </c>
      <c r="AM3" t="e">
        <f>AND(#REF!,"AAAAADf5zyY=")</f>
        <v>#REF!</v>
      </c>
      <c r="AN3" t="e">
        <f>AND(#REF!,"AAAAADf5zyc=")</f>
        <v>#REF!</v>
      </c>
      <c r="AO3" t="e">
        <f>AND(#REF!,"AAAAADf5zyg=")</f>
        <v>#REF!</v>
      </c>
      <c r="AP3" t="e">
        <f>AND(#REF!,"AAAAADf5zyk=")</f>
        <v>#REF!</v>
      </c>
      <c r="AQ3" t="e">
        <f>IF(#REF!,"AAAAADf5zyo=",0)</f>
        <v>#REF!</v>
      </c>
      <c r="AR3" t="e">
        <f>AND(#REF!,"AAAAADf5zys=")</f>
        <v>#REF!</v>
      </c>
      <c r="AS3" t="e">
        <f>AND(#REF!,"AAAAADf5zyw=")</f>
        <v>#REF!</v>
      </c>
      <c r="AT3" t="e">
        <f>AND(#REF!,"AAAAADf5zy0=")</f>
        <v>#REF!</v>
      </c>
      <c r="AU3" t="e">
        <f>AND(#REF!,"AAAAADf5zy4=")</f>
        <v>#REF!</v>
      </c>
      <c r="AV3" t="e">
        <f>AND(#REF!,"AAAAADf5zy8=")</f>
        <v>#REF!</v>
      </c>
      <c r="AW3" t="e">
        <f>AND(#REF!,"AAAAADf5zzA=")</f>
        <v>#REF!</v>
      </c>
      <c r="AX3" t="e">
        <f>AND(#REF!,"AAAAADf5zzE=")</f>
        <v>#REF!</v>
      </c>
      <c r="AY3" t="e">
        <f>AND(#REF!,"AAAAADf5zzI=")</f>
        <v>#REF!</v>
      </c>
      <c r="AZ3" t="e">
        <f>AND(#REF!,"AAAAADf5zzM=")</f>
        <v>#REF!</v>
      </c>
      <c r="BA3" t="e">
        <f>AND(#REF!,"AAAAADf5zzQ=")</f>
        <v>#REF!</v>
      </c>
      <c r="BB3" t="e">
        <f>AND(#REF!,"AAAAADf5zzU=")</f>
        <v>#REF!</v>
      </c>
      <c r="BC3" t="e">
        <f>AND(#REF!,"AAAAADf5zzY=")</f>
        <v>#REF!</v>
      </c>
      <c r="BD3" t="e">
        <f>IF(#REF!,"AAAAADf5zzc=",0)</f>
        <v>#REF!</v>
      </c>
      <c r="BE3" t="e">
        <f>AND(#REF!,"AAAAADf5zzg=")</f>
        <v>#REF!</v>
      </c>
      <c r="BF3" t="e">
        <f>AND(#REF!,"AAAAADf5zzk=")</f>
        <v>#REF!</v>
      </c>
      <c r="BG3" t="e">
        <f>AND(#REF!,"AAAAADf5zzo=")</f>
        <v>#REF!</v>
      </c>
      <c r="BH3" t="e">
        <f>AND(#REF!,"AAAAADf5zzs=")</f>
        <v>#REF!</v>
      </c>
      <c r="BI3" t="e">
        <f>AND(#REF!,"AAAAADf5zzw=")</f>
        <v>#REF!</v>
      </c>
      <c r="BJ3" t="e">
        <f>AND(#REF!,"AAAAADf5zz0=")</f>
        <v>#REF!</v>
      </c>
      <c r="BK3" t="e">
        <f>AND(#REF!,"AAAAADf5zz4=")</f>
        <v>#REF!</v>
      </c>
      <c r="BL3" t="e">
        <f>AND(#REF!,"AAAAADf5zz8=")</f>
        <v>#REF!</v>
      </c>
      <c r="BM3" t="e">
        <f>AND(#REF!,"AAAAADf5z0A=")</f>
        <v>#REF!</v>
      </c>
      <c r="BN3" t="e">
        <f>AND(#REF!,"AAAAADf5z0E=")</f>
        <v>#REF!</v>
      </c>
      <c r="BO3" t="e">
        <f>AND(#REF!,"AAAAADf5z0I=")</f>
        <v>#REF!</v>
      </c>
      <c r="BP3" t="e">
        <f>AND(#REF!,"AAAAADf5z0M=")</f>
        <v>#REF!</v>
      </c>
      <c r="BQ3" t="e">
        <f>IF(#REF!,"AAAAADf5z0Q=",0)</f>
        <v>#REF!</v>
      </c>
      <c r="BR3" t="e">
        <f>AND(#REF!,"AAAAADf5z0U=")</f>
        <v>#REF!</v>
      </c>
      <c r="BS3" t="e">
        <f>AND(#REF!,"AAAAADf5z0Y=")</f>
        <v>#REF!</v>
      </c>
      <c r="BT3" t="e">
        <f>AND(#REF!,"AAAAADf5z0c=")</f>
        <v>#REF!</v>
      </c>
      <c r="BU3" t="e">
        <f>AND(#REF!,"AAAAADf5z0g=")</f>
        <v>#REF!</v>
      </c>
      <c r="BV3" t="e">
        <f>AND(#REF!,"AAAAADf5z0k=")</f>
        <v>#REF!</v>
      </c>
      <c r="BW3" t="e">
        <f>AND(#REF!,"AAAAADf5z0o=")</f>
        <v>#REF!</v>
      </c>
      <c r="BX3" t="e">
        <f>AND(#REF!,"AAAAADf5z0s=")</f>
        <v>#REF!</v>
      </c>
      <c r="BY3" t="e">
        <f>AND(#REF!,"AAAAADf5z0w=")</f>
        <v>#REF!</v>
      </c>
      <c r="BZ3" t="e">
        <f>AND(#REF!,"AAAAADf5z00=")</f>
        <v>#REF!</v>
      </c>
      <c r="CA3" t="e">
        <f>AND(#REF!,"AAAAADf5z04=")</f>
        <v>#REF!</v>
      </c>
      <c r="CB3" t="e">
        <f>AND(#REF!,"AAAAADf5z08=")</f>
        <v>#REF!</v>
      </c>
      <c r="CC3" t="e">
        <f>AND(#REF!,"AAAAADf5z1A=")</f>
        <v>#REF!</v>
      </c>
      <c r="CD3" t="e">
        <f>IF(#REF!,"AAAAADf5z1E=",0)</f>
        <v>#REF!</v>
      </c>
      <c r="CE3" t="e">
        <f>AND(#REF!,"AAAAADf5z1I=")</f>
        <v>#REF!</v>
      </c>
      <c r="CF3" t="e">
        <f>AND(#REF!,"AAAAADf5z1M=")</f>
        <v>#REF!</v>
      </c>
      <c r="CG3" t="e">
        <f>AND(#REF!,"AAAAADf5z1Q=")</f>
        <v>#REF!</v>
      </c>
      <c r="CH3" t="e">
        <f>AND(#REF!,"AAAAADf5z1U=")</f>
        <v>#REF!</v>
      </c>
      <c r="CI3" t="e">
        <f>AND(#REF!,"AAAAADf5z1Y=")</f>
        <v>#REF!</v>
      </c>
      <c r="CJ3" t="e">
        <f>AND(#REF!,"AAAAADf5z1c=")</f>
        <v>#REF!</v>
      </c>
      <c r="CK3" t="e">
        <f>AND(#REF!,"AAAAADf5z1g=")</f>
        <v>#REF!</v>
      </c>
      <c r="CL3" t="e">
        <f>AND(#REF!,"AAAAADf5z1k=")</f>
        <v>#REF!</v>
      </c>
      <c r="CM3" t="e">
        <f>AND(#REF!,"AAAAADf5z1o=")</f>
        <v>#REF!</v>
      </c>
      <c r="CN3" t="e">
        <f>AND(#REF!,"AAAAADf5z1s=")</f>
        <v>#REF!</v>
      </c>
      <c r="CO3" t="e">
        <f>AND(#REF!,"AAAAADf5z1w=")</f>
        <v>#REF!</v>
      </c>
      <c r="CP3" t="e">
        <f>AND(#REF!,"AAAAADf5z10=")</f>
        <v>#REF!</v>
      </c>
      <c r="CQ3" t="e">
        <f>IF(#REF!,"AAAAADf5z14=",0)</f>
        <v>#REF!</v>
      </c>
      <c r="CR3" t="e">
        <f>AND(#REF!,"AAAAADf5z18=")</f>
        <v>#REF!</v>
      </c>
      <c r="CS3" t="e">
        <f>AND(#REF!,"AAAAADf5z2A=")</f>
        <v>#REF!</v>
      </c>
      <c r="CT3" t="e">
        <f>AND(#REF!,"AAAAADf5z2E=")</f>
        <v>#REF!</v>
      </c>
      <c r="CU3" t="e">
        <f>AND(#REF!,"AAAAADf5z2I=")</f>
        <v>#REF!</v>
      </c>
      <c r="CV3" t="e">
        <f>AND(#REF!,"AAAAADf5z2M=")</f>
        <v>#REF!</v>
      </c>
      <c r="CW3" t="e">
        <f>AND(#REF!,"AAAAADf5z2Q=")</f>
        <v>#REF!</v>
      </c>
      <c r="CX3" t="e">
        <f>AND(#REF!,"AAAAADf5z2U=")</f>
        <v>#REF!</v>
      </c>
      <c r="CY3" t="e">
        <f>AND(#REF!,"AAAAADf5z2Y=")</f>
        <v>#REF!</v>
      </c>
      <c r="CZ3" t="e">
        <f>AND(#REF!,"AAAAADf5z2c=")</f>
        <v>#REF!</v>
      </c>
      <c r="DA3" t="e">
        <f>AND(#REF!,"AAAAADf5z2g=")</f>
        <v>#REF!</v>
      </c>
      <c r="DB3" t="e">
        <f>AND(#REF!,"AAAAADf5z2k=")</f>
        <v>#REF!</v>
      </c>
      <c r="DC3" t="e">
        <f>AND(#REF!,"AAAAADf5z2o=")</f>
        <v>#REF!</v>
      </c>
      <c r="DD3" t="e">
        <f>IF(#REF!,"AAAAADf5z2s=",0)</f>
        <v>#REF!</v>
      </c>
      <c r="DE3" t="e">
        <f>AND(#REF!,"AAAAADf5z2w=")</f>
        <v>#REF!</v>
      </c>
      <c r="DF3" t="e">
        <f>AND(#REF!,"AAAAADf5z20=")</f>
        <v>#REF!</v>
      </c>
      <c r="DG3" t="e">
        <f>AND(#REF!,"AAAAADf5z24=")</f>
        <v>#REF!</v>
      </c>
      <c r="DH3" t="e">
        <f>AND(#REF!,"AAAAADf5z28=")</f>
        <v>#REF!</v>
      </c>
      <c r="DI3" t="e">
        <f>AND(#REF!,"AAAAADf5z3A=")</f>
        <v>#REF!</v>
      </c>
      <c r="DJ3" t="e">
        <f>AND(#REF!,"AAAAADf5z3E=")</f>
        <v>#REF!</v>
      </c>
      <c r="DK3" t="e">
        <f>AND(#REF!,"AAAAADf5z3I=")</f>
        <v>#REF!</v>
      </c>
      <c r="DL3" t="e">
        <f>AND(#REF!,"AAAAADf5z3M=")</f>
        <v>#REF!</v>
      </c>
      <c r="DM3" t="e">
        <f>AND(#REF!,"AAAAADf5z3Q=")</f>
        <v>#REF!</v>
      </c>
      <c r="DN3" t="e">
        <f>AND(#REF!,"AAAAADf5z3U=")</f>
        <v>#REF!</v>
      </c>
      <c r="DO3" t="e">
        <f>AND(#REF!,"AAAAADf5z3Y=")</f>
        <v>#REF!</v>
      </c>
      <c r="DP3" t="e">
        <f>AND(#REF!,"AAAAADf5z3c=")</f>
        <v>#REF!</v>
      </c>
      <c r="DQ3" t="e">
        <f>IF(#REF!,"AAAAADf5z3g=",0)</f>
        <v>#REF!</v>
      </c>
      <c r="DR3" t="e">
        <f>AND(#REF!,"AAAAADf5z3k=")</f>
        <v>#REF!</v>
      </c>
      <c r="DS3" t="e">
        <f>AND(#REF!,"AAAAADf5z3o=")</f>
        <v>#REF!</v>
      </c>
      <c r="DT3" t="e">
        <f>AND(#REF!,"AAAAADf5z3s=")</f>
        <v>#REF!</v>
      </c>
      <c r="DU3" t="e">
        <f>AND(#REF!,"AAAAADf5z3w=")</f>
        <v>#REF!</v>
      </c>
      <c r="DV3" t="e">
        <f>AND(#REF!,"AAAAADf5z30=")</f>
        <v>#REF!</v>
      </c>
      <c r="DW3" t="e">
        <f>AND(#REF!,"AAAAADf5z34=")</f>
        <v>#REF!</v>
      </c>
      <c r="DX3" t="e">
        <f>AND(#REF!,"AAAAADf5z38=")</f>
        <v>#REF!</v>
      </c>
      <c r="DY3" t="e">
        <f>AND(#REF!,"AAAAADf5z4A=")</f>
        <v>#REF!</v>
      </c>
      <c r="DZ3" t="e">
        <f>AND(#REF!,"AAAAADf5z4E=")</f>
        <v>#REF!</v>
      </c>
      <c r="EA3" t="e">
        <f>AND(#REF!,"AAAAADf5z4I=")</f>
        <v>#REF!</v>
      </c>
      <c r="EB3" t="e">
        <f>AND(#REF!,"AAAAADf5z4M=")</f>
        <v>#REF!</v>
      </c>
      <c r="EC3" t="e">
        <f>AND(#REF!,"AAAAADf5z4Q=")</f>
        <v>#REF!</v>
      </c>
      <c r="ED3" t="e">
        <f>IF(#REF!,"AAAAADf5z4U=",0)</f>
        <v>#REF!</v>
      </c>
      <c r="EE3" t="e">
        <f>AND(#REF!,"AAAAADf5z4Y=")</f>
        <v>#REF!</v>
      </c>
      <c r="EF3" t="e">
        <f>AND(#REF!,"AAAAADf5z4c=")</f>
        <v>#REF!</v>
      </c>
      <c r="EG3" t="e">
        <f>AND(#REF!,"AAAAADf5z4g=")</f>
        <v>#REF!</v>
      </c>
      <c r="EH3" t="e">
        <f>AND(#REF!,"AAAAADf5z4k=")</f>
        <v>#REF!</v>
      </c>
      <c r="EI3" t="e">
        <f>AND(#REF!,"AAAAADf5z4o=")</f>
        <v>#REF!</v>
      </c>
      <c r="EJ3" t="e">
        <f>AND(#REF!,"AAAAADf5z4s=")</f>
        <v>#REF!</v>
      </c>
      <c r="EK3" t="e">
        <f>AND(#REF!,"AAAAADf5z4w=")</f>
        <v>#REF!</v>
      </c>
      <c r="EL3" t="e">
        <f>AND(#REF!,"AAAAADf5z40=")</f>
        <v>#REF!</v>
      </c>
      <c r="EM3" t="e">
        <f>AND(#REF!,"AAAAADf5z44=")</f>
        <v>#REF!</v>
      </c>
      <c r="EN3" t="e">
        <f>AND(#REF!,"AAAAADf5z48=")</f>
        <v>#REF!</v>
      </c>
      <c r="EO3" t="e">
        <f>AND(#REF!,"AAAAADf5z5A=")</f>
        <v>#REF!</v>
      </c>
      <c r="EP3" t="e">
        <f>AND(#REF!,"AAAAADf5z5E=")</f>
        <v>#REF!</v>
      </c>
      <c r="EQ3" t="e">
        <f>IF(#REF!,"AAAAADf5z5I=",0)</f>
        <v>#REF!</v>
      </c>
      <c r="ER3" t="e">
        <f>AND(#REF!,"AAAAADf5z5M=")</f>
        <v>#REF!</v>
      </c>
      <c r="ES3" t="e">
        <f>AND(#REF!,"AAAAADf5z5Q=")</f>
        <v>#REF!</v>
      </c>
      <c r="ET3" t="e">
        <f>AND(#REF!,"AAAAADf5z5U=")</f>
        <v>#REF!</v>
      </c>
      <c r="EU3" t="e">
        <f>AND(#REF!,"AAAAADf5z5Y=")</f>
        <v>#REF!</v>
      </c>
      <c r="EV3" t="e">
        <f>AND(#REF!,"AAAAADf5z5c=")</f>
        <v>#REF!</v>
      </c>
      <c r="EW3" t="e">
        <f>AND(#REF!,"AAAAADf5z5g=")</f>
        <v>#REF!</v>
      </c>
      <c r="EX3" t="e">
        <f>AND(#REF!,"AAAAADf5z5k=")</f>
        <v>#REF!</v>
      </c>
      <c r="EY3" t="e">
        <f>AND(#REF!,"AAAAADf5z5o=")</f>
        <v>#REF!</v>
      </c>
      <c r="EZ3" t="e">
        <f>AND(#REF!,"AAAAADf5z5s=")</f>
        <v>#REF!</v>
      </c>
      <c r="FA3" t="e">
        <f>AND(#REF!,"AAAAADf5z5w=")</f>
        <v>#REF!</v>
      </c>
      <c r="FB3" t="e">
        <f>AND(#REF!,"AAAAADf5z50=")</f>
        <v>#REF!</v>
      </c>
      <c r="FC3" t="e">
        <f>AND(#REF!,"AAAAADf5z54=")</f>
        <v>#REF!</v>
      </c>
      <c r="FD3" t="e">
        <f>IF(#REF!,"AAAAADf5z58=",0)</f>
        <v>#REF!</v>
      </c>
      <c r="FE3" t="e">
        <f>AND(#REF!,"AAAAADf5z6A=")</f>
        <v>#REF!</v>
      </c>
      <c r="FF3" t="e">
        <f>AND(#REF!,"AAAAADf5z6E=")</f>
        <v>#REF!</v>
      </c>
      <c r="FG3" t="e">
        <f>AND(#REF!,"AAAAADf5z6I=")</f>
        <v>#REF!</v>
      </c>
      <c r="FH3" t="e">
        <f>AND(#REF!,"AAAAADf5z6M=")</f>
        <v>#REF!</v>
      </c>
      <c r="FI3" t="e">
        <f>AND(#REF!,"AAAAADf5z6Q=")</f>
        <v>#REF!</v>
      </c>
      <c r="FJ3" t="e">
        <f>AND(#REF!,"AAAAADf5z6U=")</f>
        <v>#REF!</v>
      </c>
      <c r="FK3" t="e">
        <f>AND(#REF!,"AAAAADf5z6Y=")</f>
        <v>#REF!</v>
      </c>
      <c r="FL3" t="e">
        <f>AND(#REF!,"AAAAADf5z6c=")</f>
        <v>#REF!</v>
      </c>
      <c r="FM3" t="e">
        <f>AND(#REF!,"AAAAADf5z6g=")</f>
        <v>#REF!</v>
      </c>
      <c r="FN3" t="e">
        <f>AND(#REF!,"AAAAADf5z6k=")</f>
        <v>#REF!</v>
      </c>
      <c r="FO3" t="e">
        <f>AND(#REF!,"AAAAADf5z6o=")</f>
        <v>#REF!</v>
      </c>
      <c r="FP3" t="e">
        <f>AND(#REF!,"AAAAADf5z6s=")</f>
        <v>#REF!</v>
      </c>
      <c r="FQ3" t="e">
        <f>IF(#REF!,"AAAAADf5z6w=",0)</f>
        <v>#REF!</v>
      </c>
      <c r="FR3" t="e">
        <f>AND(#REF!,"AAAAADf5z60=")</f>
        <v>#REF!</v>
      </c>
      <c r="FS3" t="e">
        <f>AND(#REF!,"AAAAADf5z64=")</f>
        <v>#REF!</v>
      </c>
      <c r="FT3" t="e">
        <f>AND(#REF!,"AAAAADf5z68=")</f>
        <v>#REF!</v>
      </c>
      <c r="FU3" t="e">
        <f>AND(#REF!,"AAAAADf5z7A=")</f>
        <v>#REF!</v>
      </c>
      <c r="FV3" t="e">
        <f>AND(#REF!,"AAAAADf5z7E=")</f>
        <v>#REF!</v>
      </c>
      <c r="FW3" t="e">
        <f>AND(#REF!,"AAAAADf5z7I=")</f>
        <v>#REF!</v>
      </c>
      <c r="FX3" t="e">
        <f>AND(#REF!,"AAAAADf5z7M=")</f>
        <v>#REF!</v>
      </c>
      <c r="FY3" t="e">
        <f>AND(#REF!,"AAAAADf5z7Q=")</f>
        <v>#REF!</v>
      </c>
      <c r="FZ3" t="e">
        <f>AND(#REF!,"AAAAADf5z7U=")</f>
        <v>#REF!</v>
      </c>
      <c r="GA3" t="e">
        <f>AND(#REF!,"AAAAADf5z7Y=")</f>
        <v>#REF!</v>
      </c>
      <c r="GB3" t="e">
        <f>AND(#REF!,"AAAAADf5z7c=")</f>
        <v>#REF!</v>
      </c>
      <c r="GC3" t="e">
        <f>AND(#REF!,"AAAAADf5z7g=")</f>
        <v>#REF!</v>
      </c>
      <c r="GD3" t="e">
        <f>IF(#REF!,"AAAAADf5z7k=",0)</f>
        <v>#REF!</v>
      </c>
      <c r="GE3" t="e">
        <f>AND(#REF!,"AAAAADf5z7o=")</f>
        <v>#REF!</v>
      </c>
      <c r="GF3" t="e">
        <f>AND(#REF!,"AAAAADf5z7s=")</f>
        <v>#REF!</v>
      </c>
      <c r="GG3" t="e">
        <f>AND(#REF!,"AAAAADf5z7w=")</f>
        <v>#REF!</v>
      </c>
      <c r="GH3" t="e">
        <f>AND(#REF!,"AAAAADf5z70=")</f>
        <v>#REF!</v>
      </c>
      <c r="GI3" t="e">
        <f>AND(#REF!,"AAAAADf5z74=")</f>
        <v>#REF!</v>
      </c>
      <c r="GJ3" t="e">
        <f>AND(#REF!,"AAAAADf5z78=")</f>
        <v>#REF!</v>
      </c>
      <c r="GK3" t="e">
        <f>AND(#REF!,"AAAAADf5z8A=")</f>
        <v>#REF!</v>
      </c>
      <c r="GL3" t="e">
        <f>AND(#REF!,"AAAAADf5z8E=")</f>
        <v>#REF!</v>
      </c>
      <c r="GM3" t="e">
        <f>AND(#REF!,"AAAAADf5z8I=")</f>
        <v>#REF!</v>
      </c>
      <c r="GN3" t="e">
        <f>AND(#REF!,"AAAAADf5z8M=")</f>
        <v>#REF!</v>
      </c>
      <c r="GO3" t="e">
        <f>AND(#REF!,"AAAAADf5z8Q=")</f>
        <v>#REF!</v>
      </c>
      <c r="GP3" t="e">
        <f>AND(#REF!,"AAAAADf5z8U=")</f>
        <v>#REF!</v>
      </c>
      <c r="GQ3" t="e">
        <f>IF(#REF!,"AAAAADf5z8Y=",0)</f>
        <v>#REF!</v>
      </c>
      <c r="GR3" t="e">
        <f>AND(#REF!,"AAAAADf5z8c=")</f>
        <v>#REF!</v>
      </c>
      <c r="GS3" t="e">
        <f>AND(#REF!,"AAAAADf5z8g=")</f>
        <v>#REF!</v>
      </c>
      <c r="GT3" t="e">
        <f>AND(#REF!,"AAAAADf5z8k=")</f>
        <v>#REF!</v>
      </c>
      <c r="GU3" t="e">
        <f>AND(#REF!,"AAAAADf5z8o=")</f>
        <v>#REF!</v>
      </c>
      <c r="GV3" t="e">
        <f>AND(#REF!,"AAAAADf5z8s=")</f>
        <v>#REF!</v>
      </c>
      <c r="GW3" t="e">
        <f>AND(#REF!,"AAAAADf5z8w=")</f>
        <v>#REF!</v>
      </c>
      <c r="GX3" t="e">
        <f>AND(#REF!,"AAAAADf5z80=")</f>
        <v>#REF!</v>
      </c>
      <c r="GY3" t="e">
        <f>AND(#REF!,"AAAAADf5z84=")</f>
        <v>#REF!</v>
      </c>
      <c r="GZ3" t="e">
        <f>AND(#REF!,"AAAAADf5z88=")</f>
        <v>#REF!</v>
      </c>
      <c r="HA3" t="e">
        <f>AND(#REF!,"AAAAADf5z9A=")</f>
        <v>#REF!</v>
      </c>
      <c r="HB3" t="e">
        <f>AND(#REF!,"AAAAADf5z9E=")</f>
        <v>#REF!</v>
      </c>
      <c r="HC3" t="e">
        <f>AND(#REF!,"AAAAADf5z9I=")</f>
        <v>#REF!</v>
      </c>
      <c r="HD3" t="e">
        <f>IF(#REF!,"AAAAADf5z9M=",0)</f>
        <v>#REF!</v>
      </c>
      <c r="HE3" t="e">
        <f>AND(#REF!,"AAAAADf5z9Q=")</f>
        <v>#REF!</v>
      </c>
      <c r="HF3" t="e">
        <f>AND(#REF!,"AAAAADf5z9U=")</f>
        <v>#REF!</v>
      </c>
      <c r="HG3" t="e">
        <f>AND(#REF!,"AAAAADf5z9Y=")</f>
        <v>#REF!</v>
      </c>
      <c r="HH3" t="e">
        <f>AND(#REF!,"AAAAADf5z9c=")</f>
        <v>#REF!</v>
      </c>
      <c r="HI3" t="e">
        <f>AND(#REF!,"AAAAADf5z9g=")</f>
        <v>#REF!</v>
      </c>
      <c r="HJ3" t="e">
        <f>AND(#REF!,"AAAAADf5z9k=")</f>
        <v>#REF!</v>
      </c>
      <c r="HK3" t="e">
        <f>AND(#REF!,"AAAAADf5z9o=")</f>
        <v>#REF!</v>
      </c>
      <c r="HL3" t="e">
        <f>AND(#REF!,"AAAAADf5z9s=")</f>
        <v>#REF!</v>
      </c>
      <c r="HM3" t="e">
        <f>AND(#REF!,"AAAAADf5z9w=")</f>
        <v>#REF!</v>
      </c>
      <c r="HN3" t="e">
        <f>AND(#REF!,"AAAAADf5z90=")</f>
        <v>#REF!</v>
      </c>
      <c r="HO3" t="e">
        <f>AND(#REF!,"AAAAADf5z94=")</f>
        <v>#REF!</v>
      </c>
      <c r="HP3" t="e">
        <f>AND(#REF!,"AAAAADf5z98=")</f>
        <v>#REF!</v>
      </c>
      <c r="HQ3" t="e">
        <f>IF(#REF!,"AAAAADf5z+A=",0)</f>
        <v>#REF!</v>
      </c>
      <c r="HR3" t="e">
        <f>AND(#REF!,"AAAAADf5z+E=")</f>
        <v>#REF!</v>
      </c>
      <c r="HS3" t="e">
        <f>AND(#REF!,"AAAAADf5z+I=")</f>
        <v>#REF!</v>
      </c>
      <c r="HT3" t="e">
        <f>AND(#REF!,"AAAAADf5z+M=")</f>
        <v>#REF!</v>
      </c>
      <c r="HU3" t="e">
        <f>AND(#REF!,"AAAAADf5z+Q=")</f>
        <v>#REF!</v>
      </c>
      <c r="HV3" t="e">
        <f>AND(#REF!,"AAAAADf5z+U=")</f>
        <v>#REF!</v>
      </c>
      <c r="HW3" t="e">
        <f>AND(#REF!,"AAAAADf5z+Y=")</f>
        <v>#REF!</v>
      </c>
      <c r="HX3" t="e">
        <f>AND(#REF!,"AAAAADf5z+c=")</f>
        <v>#REF!</v>
      </c>
      <c r="HY3" t="e">
        <f>AND(#REF!,"AAAAADf5z+g=")</f>
        <v>#REF!</v>
      </c>
      <c r="HZ3" t="e">
        <f>AND(#REF!,"AAAAADf5z+k=")</f>
        <v>#REF!</v>
      </c>
      <c r="IA3" t="e">
        <f>AND(#REF!,"AAAAADf5z+o=")</f>
        <v>#REF!</v>
      </c>
      <c r="IB3" t="e">
        <f>AND(#REF!,"AAAAADf5z+s=")</f>
        <v>#REF!</v>
      </c>
      <c r="IC3" t="e">
        <f>AND(#REF!,"AAAAADf5z+w=")</f>
        <v>#REF!</v>
      </c>
      <c r="ID3" t="e">
        <f>IF(#REF!,"AAAAADf5z+0=",0)</f>
        <v>#REF!</v>
      </c>
      <c r="IE3" t="e">
        <f>AND(#REF!,"AAAAADf5z+4=")</f>
        <v>#REF!</v>
      </c>
      <c r="IF3" t="e">
        <f>AND(#REF!,"AAAAADf5z+8=")</f>
        <v>#REF!</v>
      </c>
      <c r="IG3" t="e">
        <f>AND(#REF!,"AAAAADf5z/A=")</f>
        <v>#REF!</v>
      </c>
      <c r="IH3" t="e">
        <f>AND(#REF!,"AAAAADf5z/E=")</f>
        <v>#REF!</v>
      </c>
      <c r="II3" t="e">
        <f>AND(#REF!,"AAAAADf5z/I=")</f>
        <v>#REF!</v>
      </c>
      <c r="IJ3" t="e">
        <f>AND(#REF!,"AAAAADf5z/M=")</f>
        <v>#REF!</v>
      </c>
      <c r="IK3" t="e">
        <f>AND(#REF!,"AAAAADf5z/Q=")</f>
        <v>#REF!</v>
      </c>
      <c r="IL3" t="e">
        <f>AND(#REF!,"AAAAADf5z/U=")</f>
        <v>#REF!</v>
      </c>
      <c r="IM3" t="e">
        <f>AND(#REF!,"AAAAADf5z/Y=")</f>
        <v>#REF!</v>
      </c>
      <c r="IN3" t="e">
        <f>AND(#REF!,"AAAAADf5z/c=")</f>
        <v>#REF!</v>
      </c>
      <c r="IO3" t="e">
        <f>AND(#REF!,"AAAAADf5z/g=")</f>
        <v>#REF!</v>
      </c>
      <c r="IP3" t="e">
        <f>AND(#REF!,"AAAAADf5z/k=")</f>
        <v>#REF!</v>
      </c>
      <c r="IQ3" t="e">
        <f>IF(#REF!,"AAAAADf5z/o=",0)</f>
        <v>#REF!</v>
      </c>
      <c r="IR3" t="e">
        <f>AND(#REF!,"AAAAADf5z/s=")</f>
        <v>#REF!</v>
      </c>
      <c r="IS3" t="e">
        <f>AND(#REF!,"AAAAADf5z/w=")</f>
        <v>#REF!</v>
      </c>
      <c r="IT3" t="e">
        <f>AND(#REF!,"AAAAADf5z/0=")</f>
        <v>#REF!</v>
      </c>
      <c r="IU3" t="e">
        <f>AND(#REF!,"AAAAADf5z/4=")</f>
        <v>#REF!</v>
      </c>
      <c r="IV3" t="e">
        <f>AND(#REF!,"AAAAADf5z/8=")</f>
        <v>#REF!</v>
      </c>
    </row>
    <row r="4" spans="1:256">
      <c r="A4" t="e">
        <f>AND(#REF!,"AAAAAH+b+wA=")</f>
        <v>#REF!</v>
      </c>
      <c r="B4" t="e">
        <f>AND(#REF!,"AAAAAH+b+wE=")</f>
        <v>#REF!</v>
      </c>
      <c r="C4" t="e">
        <f>AND(#REF!,"AAAAAH+b+wI=")</f>
        <v>#REF!</v>
      </c>
      <c r="D4" t="e">
        <f>AND(#REF!,"AAAAAH+b+wM=")</f>
        <v>#REF!</v>
      </c>
      <c r="E4" t="e">
        <f>AND(#REF!,"AAAAAH+b+wQ=")</f>
        <v>#REF!</v>
      </c>
      <c r="F4" t="e">
        <f>AND(#REF!,"AAAAAH+b+wU=")</f>
        <v>#REF!</v>
      </c>
      <c r="G4" t="e">
        <f>AND(#REF!,"AAAAAH+b+wY=")</f>
        <v>#REF!</v>
      </c>
      <c r="H4" t="e">
        <f>IF(#REF!,"AAAAAH+b+wc=",0)</f>
        <v>#REF!</v>
      </c>
      <c r="I4" t="e">
        <f>AND(#REF!,"AAAAAH+b+wg=")</f>
        <v>#REF!</v>
      </c>
      <c r="J4" t="e">
        <f>AND(#REF!,"AAAAAH+b+wk=")</f>
        <v>#REF!</v>
      </c>
      <c r="K4" t="e">
        <f>AND(#REF!,"AAAAAH+b+wo=")</f>
        <v>#REF!</v>
      </c>
      <c r="L4" t="e">
        <f>AND(#REF!,"AAAAAH+b+ws=")</f>
        <v>#REF!</v>
      </c>
      <c r="M4" t="e">
        <f>AND(#REF!,"AAAAAH+b+ww=")</f>
        <v>#REF!</v>
      </c>
      <c r="N4" t="e">
        <f>AND(#REF!,"AAAAAH+b+w0=")</f>
        <v>#REF!</v>
      </c>
      <c r="O4" t="e">
        <f>AND(#REF!,"AAAAAH+b+w4=")</f>
        <v>#REF!</v>
      </c>
      <c r="P4" t="e">
        <f>AND(#REF!,"AAAAAH+b+w8=")</f>
        <v>#REF!</v>
      </c>
      <c r="Q4" t="e">
        <f>AND(#REF!,"AAAAAH+b+xA=")</f>
        <v>#REF!</v>
      </c>
      <c r="R4" t="e">
        <f>AND(#REF!,"AAAAAH+b+xE=")</f>
        <v>#REF!</v>
      </c>
      <c r="S4" t="e">
        <f>AND(#REF!,"AAAAAH+b+xI=")</f>
        <v>#REF!</v>
      </c>
      <c r="T4" t="e">
        <f>AND(#REF!,"AAAAAH+b+xM=")</f>
        <v>#REF!</v>
      </c>
      <c r="U4" t="e">
        <f>IF(#REF!,"AAAAAH+b+xQ=",0)</f>
        <v>#REF!</v>
      </c>
      <c r="V4" t="e">
        <f>IF(#REF!,"AAAAAH+b+xU=",0)</f>
        <v>#REF!</v>
      </c>
      <c r="W4" t="e">
        <f>IF(#REF!,"AAAAAH+b+xY=",0)</f>
        <v>#REF!</v>
      </c>
      <c r="X4" t="e">
        <f>IF(#REF!,"AAAAAH+b+xc=",0)</f>
        <v>#REF!</v>
      </c>
      <c r="Y4" t="e">
        <f>IF(#REF!,"AAAAAH+b+xg=",0)</f>
        <v>#REF!</v>
      </c>
      <c r="Z4" t="e">
        <f>IF(#REF!,"AAAAAH+b+xk=",0)</f>
        <v>#REF!</v>
      </c>
      <c r="AA4" t="e">
        <f>IF(#REF!,"AAAAAH+b+xo=",0)</f>
        <v>#REF!</v>
      </c>
      <c r="AB4" t="e">
        <f>IF(#REF!,"AAAAAH+b+xs=",0)</f>
        <v>#REF!</v>
      </c>
      <c r="AC4" t="e">
        <f>IF(#REF!,"AAAAAH+b+xw=",0)</f>
        <v>#REF!</v>
      </c>
      <c r="AD4" t="e">
        <f>IF(#REF!,"AAAAAH+b+x0=",0)</f>
        <v>#REF!</v>
      </c>
      <c r="AE4" t="e">
        <f>IF(#REF!,"AAAAAH+b+x4=",0)</f>
        <v>#REF!</v>
      </c>
      <c r="AF4" t="e">
        <f>IF(#REF!,"AAAAAH+b+x8=",0)</f>
        <v>#REF!</v>
      </c>
      <c r="AG4" t="e">
        <f>IF(#REF!,"AAAAAH+b+yA=",0)</f>
        <v>#REF!</v>
      </c>
      <c r="AH4" t="e">
        <f>IF(#REF!,"AAAAAH+b+yE=",0)</f>
        <v>#REF!</v>
      </c>
      <c r="AI4" t="e">
        <f>IF(#REF!,"AAAAAH+b+yI=",0)</f>
        <v>#REF!</v>
      </c>
      <c r="AJ4" t="e">
        <f>IF(#REF!,"AAAAAH+b+yM=",0)</f>
        <v>#REF!</v>
      </c>
      <c r="AK4" t="e">
        <f>IF(#REF!,"AAAAAH+b+yQ=",0)</f>
        <v>#REF!</v>
      </c>
      <c r="AL4" t="e">
        <f>IF(#REF!,"AAAAAH+b+yU=",0)</f>
        <v>#REF!</v>
      </c>
      <c r="AM4" t="e">
        <f>IF(#REF!,"AAAAAH+b+yY=",0)</f>
        <v>#REF!</v>
      </c>
      <c r="AN4" t="e">
        <f>IF(#REF!,"AAAAAH+b+yc=",0)</f>
        <v>#REF!</v>
      </c>
      <c r="AO4" t="e">
        <f>IF(#REF!,"AAAAAH+b+yg=",0)</f>
        <v>#REF!</v>
      </c>
      <c r="AP4" t="e">
        <f>IF(#REF!,"AAAAAH+b+yk=",0)</f>
        <v>#REF!</v>
      </c>
      <c r="AQ4" t="e">
        <f>IF(#REF!,"AAAAAH+b+yo=",0)</f>
        <v>#REF!</v>
      </c>
      <c r="AR4" t="e">
        <f>IF(#REF!,"AAAAAH+b+ys=",0)</f>
        <v>#REF!</v>
      </c>
      <c r="AS4" t="e">
        <f>IF(#REF!,"AAAAAH+b+yw=",0)</f>
        <v>#REF!</v>
      </c>
      <c r="AT4" t="e">
        <f>IF(#REF!,"AAAAAH+b+y0=",0)</f>
        <v>#REF!</v>
      </c>
      <c r="AU4" t="e">
        <f>IF(#REF!,"AAAAAH+b+y4=",0)</f>
        <v>#REF!</v>
      </c>
      <c r="AV4" t="e">
        <f>IF(#REF!,"AAAAAH+b+y8=",0)</f>
        <v>#REF!</v>
      </c>
      <c r="AW4" t="e">
        <f>IF(#REF!,"AAAAAH+b+zA=",0)</f>
        <v>#REF!</v>
      </c>
      <c r="AX4" t="e">
        <f>IF(#REF!,"AAAAAH+b+zE=",0)</f>
        <v>#REF!</v>
      </c>
      <c r="AY4" t="e">
        <f>IF(#REF!,"AAAAAH+b+zI=",0)</f>
        <v>#REF!</v>
      </c>
      <c r="AZ4" t="e">
        <f>IF(#REF!,"AAAAAH+b+zM=",0)</f>
        <v>#REF!</v>
      </c>
      <c r="BA4" t="e">
        <f>IF(#REF!,"AAAAAH+b+zQ=",0)</f>
        <v>#REF!</v>
      </c>
      <c r="BB4" t="e">
        <f>IF(#REF!,"AAAAAH+b+zU=",0)</f>
        <v>#REF!</v>
      </c>
      <c r="BC4" t="e">
        <f>IF(#REF!,"AAAAAH+b+zY=",0)</f>
        <v>#REF!</v>
      </c>
      <c r="BD4" t="e">
        <f>IF(#REF!,"AAAAAH+b+zc=",0)</f>
        <v>#REF!</v>
      </c>
      <c r="BE4" t="e">
        <f>IF(#REF!,"AAAAAH+b+zg=",0)</f>
        <v>#REF!</v>
      </c>
      <c r="BF4" t="e">
        <f>IF(#REF!,"AAAAAH+b+zk=",0)</f>
        <v>#REF!</v>
      </c>
      <c r="BG4" t="e">
        <f>IF(#REF!,"AAAAAH+b+zo=",0)</f>
        <v>#REF!</v>
      </c>
      <c r="BH4" t="e">
        <f>IF(#REF!,"AAAAAH+b+zs=",0)</f>
        <v>#REF!</v>
      </c>
      <c r="BI4" t="e">
        <f>IF(#REF!,"AAAAAH+b+zw=",0)</f>
        <v>#REF!</v>
      </c>
      <c r="BJ4" t="e">
        <f>IF(#REF!,"AAAAAH+b+z0=",0)</f>
        <v>#REF!</v>
      </c>
      <c r="BK4" t="e">
        <f>IF(#REF!,"AAAAAH+b+z4=",0)</f>
        <v>#REF!</v>
      </c>
      <c r="BL4" t="e">
        <f>IF(#REF!,"AAAAAH+b+z8=",0)</f>
        <v>#REF!</v>
      </c>
      <c r="BM4" t="e">
        <f>IF(#REF!,"AAAAAH+b+0A=",0)</f>
        <v>#REF!</v>
      </c>
      <c r="BN4" t="e">
        <f>IF(#REF!,"AAAAAH+b+0E=",0)</f>
        <v>#REF!</v>
      </c>
      <c r="BO4" t="e">
        <f>IF(#REF!,"AAAAAH+b+0I=",0)</f>
        <v>#REF!</v>
      </c>
      <c r="BP4" t="e">
        <f>IF(#REF!,"AAAAAH+b+0M=",0)</f>
        <v>#REF!</v>
      </c>
      <c r="BQ4" t="e">
        <f>IF(#REF!,"AAAAAH+b+0Q=",0)</f>
        <v>#REF!</v>
      </c>
      <c r="BR4" t="e">
        <f>IF(#REF!,"AAAAAH+b+0U=",0)</f>
        <v>#REF!</v>
      </c>
      <c r="BS4" t="e">
        <f>IF(#REF!,"AAAAAH+b+0Y=",0)</f>
        <v>#REF!</v>
      </c>
      <c r="BT4" t="e">
        <f>IF(#REF!,"AAAAAH+b+0c=",0)</f>
        <v>#REF!</v>
      </c>
      <c r="BU4" t="e">
        <f>IF(#REF!,"AAAAAH+b+0g=",0)</f>
        <v>#REF!</v>
      </c>
      <c r="BV4" t="e">
        <f>IF(#REF!,"AAAAAH+b+0k=",0)</f>
        <v>#REF!</v>
      </c>
      <c r="BW4" t="e">
        <f>IF(#REF!,"AAAAAH+b+0o=",0)</f>
        <v>#REF!</v>
      </c>
      <c r="BX4" t="e">
        <f>IF(#REF!,"AAAAAH+b+0s=",0)</f>
        <v>#REF!</v>
      </c>
      <c r="BY4" t="e">
        <f>IF(#REF!,"AAAAAH+b+0w=",0)</f>
        <v>#REF!</v>
      </c>
      <c r="BZ4" t="e">
        <f>IF(#REF!,"AAAAAH+b+00=",0)</f>
        <v>#REF!</v>
      </c>
      <c r="CA4" t="e">
        <f>IF(#REF!,"AAAAAH+b+04=",0)</f>
        <v>#REF!</v>
      </c>
      <c r="CB4" t="e">
        <f>IF(#REF!,"AAAAAH+b+08=",0)</f>
        <v>#REF!</v>
      </c>
      <c r="CC4" t="e">
        <f>IF(#REF!,"AAAAAH+b+1A=",0)</f>
        <v>#REF!</v>
      </c>
      <c r="CD4" t="e">
        <f>IF(#REF!,"AAAAAH+b+1E=",0)</f>
        <v>#REF!</v>
      </c>
      <c r="CE4" t="e">
        <f>IF(#REF!,"AAAAAH+b+1I=",0)</f>
        <v>#REF!</v>
      </c>
      <c r="CF4" t="e">
        <f>IF(#REF!,"AAAAAH+b+1M=",0)</f>
        <v>#REF!</v>
      </c>
      <c r="CG4" t="e">
        <f>IF(#REF!,"AAAAAH+b+1Q=",0)</f>
        <v>#REF!</v>
      </c>
      <c r="CH4" t="e">
        <f>IF(#REF!,"AAAAAH+b+1U=",0)</f>
        <v>#REF!</v>
      </c>
      <c r="CI4" t="e">
        <f>IF(#REF!,"AAAAAH+b+1Y=",0)</f>
        <v>#REF!</v>
      </c>
      <c r="CJ4" t="e">
        <f>IF(#REF!,"AAAAAH+b+1c=",0)</f>
        <v>#REF!</v>
      </c>
      <c r="CK4" t="e">
        <f>IF(#REF!,"AAAAAH+b+1g=",0)</f>
        <v>#REF!</v>
      </c>
      <c r="CL4" t="e">
        <f>IF(#REF!,"AAAAAH+b+1k=",0)</f>
        <v>#REF!</v>
      </c>
      <c r="CM4" t="e">
        <f>IF(#REF!,"AAAAAH+b+1o=",0)</f>
        <v>#REF!</v>
      </c>
      <c r="CN4" t="e">
        <f>IF(#REF!,"AAAAAH+b+1s=",0)</f>
        <v>#REF!</v>
      </c>
      <c r="CO4" t="e">
        <f>IF(#REF!,"AAAAAH+b+1w=",0)</f>
        <v>#REF!</v>
      </c>
      <c r="CP4" t="e">
        <f>IF(#REF!,"AAAAAH+b+10=",0)</f>
        <v>#REF!</v>
      </c>
      <c r="CQ4" t="e">
        <f>IF(#REF!,"AAAAAH+b+14=",0)</f>
        <v>#REF!</v>
      </c>
      <c r="CR4" t="e">
        <f>IF(#REF!,"AAAAAH+b+18=",0)</f>
        <v>#REF!</v>
      </c>
      <c r="CS4" t="e">
        <f>IF(#REF!,"AAAAAH+b+2A=",0)</f>
        <v>#REF!</v>
      </c>
      <c r="CT4" t="e">
        <f>IF(#REF!,"AAAAAH+b+2E=",0)</f>
        <v>#REF!</v>
      </c>
      <c r="CU4" t="e">
        <f>IF(#REF!,"AAAAAH+b+2I=",0)</f>
        <v>#REF!</v>
      </c>
      <c r="CV4" t="e">
        <f>IF(#REF!,"AAAAAH+b+2M=",0)</f>
        <v>#REF!</v>
      </c>
      <c r="CW4" t="e">
        <f>IF(#REF!,"AAAAAH+b+2Q=",0)</f>
        <v>#REF!</v>
      </c>
      <c r="CX4" t="e">
        <f>IF(#REF!,"AAAAAH+b+2U=",0)</f>
        <v>#REF!</v>
      </c>
      <c r="CY4" t="e">
        <f>IF(#REF!,"AAAAAH+b+2Y=",0)</f>
        <v>#REF!</v>
      </c>
      <c r="CZ4" t="e">
        <f>IF(#REF!,"AAAAAH+b+2c=",0)</f>
        <v>#REF!</v>
      </c>
      <c r="DA4" t="e">
        <f>IF(#REF!,"AAAAAH+b+2g=",0)</f>
        <v>#REF!</v>
      </c>
      <c r="DB4" t="e">
        <f>IF(#REF!,"AAAAAH+b+2k=",0)</f>
        <v>#REF!</v>
      </c>
      <c r="DC4" t="e">
        <f>IF(#REF!,"AAAAAH+b+2o=",0)</f>
        <v>#REF!</v>
      </c>
      <c r="DD4" t="e">
        <f>IF(#REF!,"AAAAAH+b+2s=",0)</f>
        <v>#REF!</v>
      </c>
      <c r="DE4" t="e">
        <f>IF(#REF!,"AAAAAH+b+2w=",0)</f>
        <v>#REF!</v>
      </c>
      <c r="DF4" t="e">
        <f>IF(#REF!,"AAAAAH+b+20=",0)</f>
        <v>#REF!</v>
      </c>
      <c r="DG4" t="e">
        <f>IF(#REF!,"AAAAAH+b+24=",0)</f>
        <v>#REF!</v>
      </c>
      <c r="DH4" t="e">
        <f>IF(#REF!,"AAAAAH+b+28=",0)</f>
        <v>#REF!</v>
      </c>
      <c r="DI4" t="e">
        <f>IF(#REF!,"AAAAAH+b+3A=",0)</f>
        <v>#REF!</v>
      </c>
      <c r="DJ4" t="e">
        <f>IF(#REF!,"AAAAAH+b+3E=",0)</f>
        <v>#REF!</v>
      </c>
      <c r="DK4" t="e">
        <f>IF(#REF!,"AAAAAH+b+3I=",0)</f>
        <v>#REF!</v>
      </c>
      <c r="DL4" t="e">
        <f>IF(#REF!,"AAAAAH+b+3M=",0)</f>
        <v>#REF!</v>
      </c>
      <c r="DM4" t="e">
        <f>IF(#REF!,"AAAAAH+b+3Q=",0)</f>
        <v>#REF!</v>
      </c>
      <c r="DN4" t="e">
        <f>IF(#REF!,"AAAAAH+b+3U=",0)</f>
        <v>#REF!</v>
      </c>
      <c r="DO4" t="e">
        <f>IF(#REF!,"AAAAAH+b+3Y=",0)</f>
        <v>#REF!</v>
      </c>
      <c r="DP4" t="e">
        <f>IF(#REF!,"AAAAAH+b+3c=",0)</f>
        <v>#REF!</v>
      </c>
      <c r="DQ4" t="e">
        <f>IF(#REF!,"AAAAAH+b+3g=",0)</f>
        <v>#REF!</v>
      </c>
      <c r="DR4" t="e">
        <f>IF(#REF!,"AAAAAH+b+3k=",0)</f>
        <v>#REF!</v>
      </c>
      <c r="DS4" t="e">
        <f>IF(#REF!,"AAAAAH+b+3o=",0)</f>
        <v>#REF!</v>
      </c>
      <c r="DT4" t="e">
        <f>IF(#REF!,"AAAAAH+b+3s=",0)</f>
        <v>#REF!</v>
      </c>
      <c r="DU4" t="e">
        <f>IF(#REF!,"AAAAAH+b+3w=",0)</f>
        <v>#REF!</v>
      </c>
      <c r="DV4" t="e">
        <f>IF(#REF!,"AAAAAH+b+30=",0)</f>
        <v>#REF!</v>
      </c>
      <c r="DW4" t="e">
        <f>IF(#REF!,"AAAAAH+b+34=",0)</f>
        <v>#REF!</v>
      </c>
      <c r="DX4" t="e">
        <f>IF(#REF!,"AAAAAH+b+38=",0)</f>
        <v>#REF!</v>
      </c>
      <c r="DY4" t="e">
        <f>IF(#REF!,"AAAAAH+b+4A=",0)</f>
        <v>#REF!</v>
      </c>
      <c r="DZ4" t="e">
        <f>IF(#REF!,"AAAAAH+b+4E=",0)</f>
        <v>#REF!</v>
      </c>
      <c r="EA4" t="e">
        <f>IF(#REF!,"AAAAAH+b+4I=",0)</f>
        <v>#REF!</v>
      </c>
      <c r="EB4" t="e">
        <f>IF(#REF!,"AAAAAH+b+4M=",0)</f>
        <v>#REF!</v>
      </c>
      <c r="EC4" t="e">
        <f>IF(#REF!,"AAAAAH+b+4Q=",0)</f>
        <v>#REF!</v>
      </c>
      <c r="ED4" t="e">
        <f>IF(#REF!,"AAAAAH+b+4U=",0)</f>
        <v>#REF!</v>
      </c>
      <c r="EE4" t="e">
        <f>IF(#REF!,"AAAAAH+b+4Y=",0)</f>
        <v>#REF!</v>
      </c>
      <c r="EF4" t="e">
        <f>IF(#REF!,"AAAAAH+b+4c=",0)</f>
        <v>#REF!</v>
      </c>
      <c r="EG4" t="e">
        <f>IF(#REF!,"AAAAAH+b+4g=",0)</f>
        <v>#REF!</v>
      </c>
      <c r="EH4" t="e">
        <f>IF(#REF!,"AAAAAH+b+4k=",0)</f>
        <v>#REF!</v>
      </c>
      <c r="EI4" t="e">
        <f>IF(#REF!,"AAAAAH+b+4o=",0)</f>
        <v>#REF!</v>
      </c>
      <c r="EJ4" t="e">
        <f>IF(#REF!,"AAAAAH+b+4s=",0)</f>
        <v>#REF!</v>
      </c>
      <c r="EK4" t="e">
        <f>IF(#REF!,"AAAAAH+b+4w=",0)</f>
        <v>#REF!</v>
      </c>
      <c r="EL4" t="e">
        <f>IF(#REF!,"AAAAAH+b+40=",0)</f>
        <v>#REF!</v>
      </c>
      <c r="EM4" t="e">
        <f>IF(#REF!,"AAAAAH+b+44=",0)</f>
        <v>#REF!</v>
      </c>
      <c r="EN4" t="e">
        <f>IF(#REF!,"AAAAAH+b+48=",0)</f>
        <v>#REF!</v>
      </c>
      <c r="EO4" t="e">
        <f>IF(#REF!,"AAAAAH+b+5A=",0)</f>
        <v>#REF!</v>
      </c>
      <c r="EP4" t="e">
        <f>IF(#REF!,"AAAAAH+b+5E=",0)</f>
        <v>#REF!</v>
      </c>
      <c r="EQ4" t="e">
        <f>IF(#REF!,"AAAAAH+b+5I=",0)</f>
        <v>#REF!</v>
      </c>
      <c r="ER4" t="e">
        <f>IF(#REF!,"AAAAAH+b+5M=",0)</f>
        <v>#REF!</v>
      </c>
      <c r="ES4" t="e">
        <f>IF(#REF!,"AAAAAH+b+5Q=",0)</f>
        <v>#REF!</v>
      </c>
      <c r="ET4" t="e">
        <f>IF(#REF!,"AAAAAH+b+5U=",0)</f>
        <v>#REF!</v>
      </c>
      <c r="EU4" t="e">
        <f>IF(#REF!,"AAAAAH+b+5Y=",0)</f>
        <v>#REF!</v>
      </c>
      <c r="EV4" t="e">
        <f>IF(#REF!,"AAAAAH+b+5c=",0)</f>
        <v>#REF!</v>
      </c>
      <c r="EW4" t="e">
        <f>IF(#REF!,"AAAAAH+b+5g=",0)</f>
        <v>#REF!</v>
      </c>
      <c r="EX4" t="e">
        <f>IF(#REF!,"AAAAAH+b+5k=",0)</f>
        <v>#REF!</v>
      </c>
      <c r="EY4" t="e">
        <f>IF(#REF!,"AAAAAH+b+5o=",0)</f>
        <v>#REF!</v>
      </c>
      <c r="EZ4" t="e">
        <f>IF(#REF!,"AAAAAH+b+5s=",0)</f>
        <v>#REF!</v>
      </c>
      <c r="FA4" t="e">
        <f>IF(#REF!,"AAAAAH+b+5w=",0)</f>
        <v>#REF!</v>
      </c>
      <c r="FB4" t="e">
        <f>IF(#REF!,"AAAAAH+b+50=",0)</f>
        <v>#REF!</v>
      </c>
      <c r="FC4" t="e">
        <f>IF(#REF!,"AAAAAH+b+54=",0)</f>
        <v>#REF!</v>
      </c>
      <c r="FD4" t="e">
        <f>IF(#REF!,"AAAAAH+b+58=",0)</f>
        <v>#REF!</v>
      </c>
      <c r="FE4" t="e">
        <f>IF(#REF!,"AAAAAH+b+6A=",0)</f>
        <v>#REF!</v>
      </c>
      <c r="FF4" t="e">
        <f>IF(#REF!,"AAAAAH+b+6E=",0)</f>
        <v>#REF!</v>
      </c>
      <c r="FG4" t="e">
        <f>IF(#REF!,"AAAAAH+b+6I=",0)</f>
        <v>#REF!</v>
      </c>
      <c r="FH4" t="e">
        <f>IF(#REF!,"AAAAAH+b+6M=",0)</f>
        <v>#REF!</v>
      </c>
      <c r="FI4" t="e">
        <f>IF(#REF!,"AAAAAH+b+6Q=",0)</f>
        <v>#REF!</v>
      </c>
      <c r="FJ4" t="e">
        <f>IF(#REF!,"AAAAAH+b+6U=",0)</f>
        <v>#REF!</v>
      </c>
      <c r="FK4" t="e">
        <f>IF(#REF!,"AAAAAH+b+6Y=",0)</f>
        <v>#REF!</v>
      </c>
      <c r="FL4" t="e">
        <f>IF(#REF!,"AAAAAH+b+6c=",0)</f>
        <v>#REF!</v>
      </c>
      <c r="FM4" t="e">
        <f>IF(#REF!,"AAAAAH+b+6g=",0)</f>
        <v>#REF!</v>
      </c>
      <c r="FN4" t="e">
        <f>IF(#REF!,"AAAAAH+b+6k=",0)</f>
        <v>#REF!</v>
      </c>
      <c r="FO4" t="e">
        <f>IF(#REF!,"AAAAAH+b+6o=",0)</f>
        <v>#REF!</v>
      </c>
      <c r="FP4" t="e">
        <f>IF(#REF!,"AAAAAH+b+6s=",0)</f>
        <v>#REF!</v>
      </c>
      <c r="FQ4" t="e">
        <f>IF(#REF!,"AAAAAH+b+6w=",0)</f>
        <v>#REF!</v>
      </c>
      <c r="FR4" t="e">
        <f>IF(#REF!,"AAAAAH+b+60=",0)</f>
        <v>#REF!</v>
      </c>
      <c r="FS4" t="e">
        <f>IF(#REF!,"AAAAAH+b+64=",0)</f>
        <v>#REF!</v>
      </c>
      <c r="FT4" t="e">
        <f>IF(#REF!,"AAAAAH+b+68=",0)</f>
        <v>#REF!</v>
      </c>
      <c r="FU4" t="e">
        <f>IF(#REF!,"AAAAAH+b+7A=",0)</f>
        <v>#REF!</v>
      </c>
      <c r="FV4" t="e">
        <f>IF(#REF!,"AAAAAH+b+7E=",0)</f>
        <v>#REF!</v>
      </c>
      <c r="FW4" t="e">
        <f>IF(#REF!,"AAAAAH+b+7I=",0)</f>
        <v>#REF!</v>
      </c>
      <c r="FX4" t="e">
        <f>IF(#REF!,"AAAAAH+b+7M=",0)</f>
        <v>#REF!</v>
      </c>
      <c r="FY4" t="e">
        <f>IF(#REF!,"AAAAAH+b+7Q=",0)</f>
        <v>#REF!</v>
      </c>
      <c r="FZ4" t="e">
        <f>IF(#REF!,"AAAAAH+b+7U=",0)</f>
        <v>#REF!</v>
      </c>
      <c r="GA4" t="e">
        <f>IF(#REF!,"AAAAAH+b+7Y=",0)</f>
        <v>#REF!</v>
      </c>
      <c r="GB4" t="e">
        <f>IF(#REF!,"AAAAAH+b+7c=",0)</f>
        <v>#REF!</v>
      </c>
      <c r="GC4" t="e">
        <f>IF(#REF!,"AAAAAH+b+7g=",0)</f>
        <v>#REF!</v>
      </c>
      <c r="GD4" t="e">
        <f>IF(#REF!,"AAAAAH+b+7k=",0)</f>
        <v>#REF!</v>
      </c>
      <c r="GE4" t="e">
        <f>IF(#REF!,"AAAAAH+b+7o=",0)</f>
        <v>#REF!</v>
      </c>
      <c r="GF4" t="e">
        <f>IF(#REF!,"AAAAAH+b+7s=",0)</f>
        <v>#REF!</v>
      </c>
      <c r="GG4" t="e">
        <f>IF(#REF!,"AAAAAH+b+7w=",0)</f>
        <v>#REF!</v>
      </c>
      <c r="GH4" t="e">
        <f>IF(#REF!,"AAAAAH+b+70=",0)</f>
        <v>#REF!</v>
      </c>
      <c r="GI4" t="e">
        <f>IF(#REF!,"AAAAAH+b+74=",0)</f>
        <v>#REF!</v>
      </c>
      <c r="GJ4" t="e">
        <f>IF(#REF!,"AAAAAH+b+78=",0)</f>
        <v>#REF!</v>
      </c>
      <c r="GK4" t="e">
        <f>IF(#REF!,"AAAAAH+b+8A=",0)</f>
        <v>#REF!</v>
      </c>
      <c r="GL4" t="e">
        <f>IF(#REF!,"AAAAAH+b+8E=",0)</f>
        <v>#REF!</v>
      </c>
      <c r="GM4" t="e">
        <f>IF(#REF!,"AAAAAH+b+8I=",0)</f>
        <v>#REF!</v>
      </c>
      <c r="GN4" t="e">
        <f>IF(#REF!,"AAAAAH+b+8M=",0)</f>
        <v>#REF!</v>
      </c>
      <c r="GO4" t="e">
        <f>IF(#REF!,"AAAAAH+b+8Q=",0)</f>
        <v>#REF!</v>
      </c>
      <c r="GP4" t="e">
        <f>IF(#REF!,"AAAAAH+b+8U=",0)</f>
        <v>#REF!</v>
      </c>
      <c r="GQ4" t="e">
        <f>IF(#REF!,"AAAAAH+b+8Y=",0)</f>
        <v>#REF!</v>
      </c>
      <c r="GR4" t="e">
        <f>IF(#REF!,"AAAAAH+b+8c=",0)</f>
        <v>#REF!</v>
      </c>
      <c r="GS4" t="e">
        <f>IF(#REF!,"AAAAAH+b+8g=",0)</f>
        <v>#REF!</v>
      </c>
      <c r="GT4" t="e">
        <f>IF(#REF!,"AAAAAH+b+8k=",0)</f>
        <v>#REF!</v>
      </c>
      <c r="GU4" t="e">
        <f>IF(#REF!,"AAAAAH+b+8o=",0)</f>
        <v>#REF!</v>
      </c>
      <c r="GV4" t="e">
        <f>IF(#REF!,"AAAAAH+b+8s=",0)</f>
        <v>#REF!</v>
      </c>
      <c r="GW4" t="e">
        <f>IF(#REF!,"AAAAAH+b+8w=",0)</f>
        <v>#REF!</v>
      </c>
      <c r="GX4" t="e">
        <f>IF(#REF!,"AAAAAH+b+80=",0)</f>
        <v>#REF!</v>
      </c>
      <c r="GY4" t="e">
        <f>IF(#REF!,"AAAAAH+b+84=",0)</f>
        <v>#REF!</v>
      </c>
      <c r="GZ4" t="e">
        <f>IF(#REF!,"AAAAAH+b+88=",0)</f>
        <v>#REF!</v>
      </c>
      <c r="HA4" t="e">
        <f>IF(#REF!,"AAAAAH+b+9A=",0)</f>
        <v>#REF!</v>
      </c>
      <c r="HB4" t="e">
        <f>IF(#REF!,"AAAAAH+b+9E=",0)</f>
        <v>#REF!</v>
      </c>
      <c r="HC4" t="e">
        <f>IF(#REF!,"AAAAAH+b+9I=",0)</f>
        <v>#REF!</v>
      </c>
      <c r="HD4" t="e">
        <f>IF(#REF!,"AAAAAH+b+9M=",0)</f>
        <v>#REF!</v>
      </c>
      <c r="HE4" t="e">
        <f>IF(#REF!,"AAAAAH+b+9Q=",0)</f>
        <v>#REF!</v>
      </c>
      <c r="HF4" t="e">
        <f>IF(#REF!,"AAAAAH+b+9U=",0)</f>
        <v>#REF!</v>
      </c>
      <c r="HG4" t="e">
        <f>IF(#REF!,"AAAAAH+b+9Y=",0)</f>
        <v>#REF!</v>
      </c>
      <c r="HH4" t="e">
        <f>IF(#REF!,"AAAAAH+b+9c=",0)</f>
        <v>#REF!</v>
      </c>
      <c r="HI4" t="e">
        <f>IF(#REF!,"AAAAAH+b+9g=",0)</f>
        <v>#REF!</v>
      </c>
      <c r="HJ4" t="e">
        <f>IF(#REF!,"AAAAAH+b+9k=",0)</f>
        <v>#REF!</v>
      </c>
      <c r="HK4" t="e">
        <f>IF(#REF!,"AAAAAH+b+9o=",0)</f>
        <v>#REF!</v>
      </c>
      <c r="HL4" t="e">
        <f>IF(#REF!,"AAAAAH+b+9s=",0)</f>
        <v>#REF!</v>
      </c>
      <c r="HM4" t="e">
        <f>IF(#REF!,"AAAAAH+b+9w=",0)</f>
        <v>#REF!</v>
      </c>
      <c r="HN4" t="e">
        <f>IF(#REF!,"AAAAAH+b+90=",0)</f>
        <v>#REF!</v>
      </c>
      <c r="HO4" t="e">
        <f>IF(#REF!,"AAAAAH+b+94=",0)</f>
        <v>#REF!</v>
      </c>
      <c r="HP4" t="e">
        <f>IF(#REF!,"AAAAAH+b+98=",0)</f>
        <v>#REF!</v>
      </c>
      <c r="HQ4" t="e">
        <f>IF(#REF!,"AAAAAH+b++A=",0)</f>
        <v>#REF!</v>
      </c>
      <c r="HR4" t="e">
        <f>IF(#REF!,"AAAAAH+b++E=",0)</f>
        <v>#REF!</v>
      </c>
      <c r="HS4" t="e">
        <f>IF(#REF!,"AAAAAH+b++I=",0)</f>
        <v>#REF!</v>
      </c>
      <c r="HT4" t="e">
        <f>IF(#REF!,"AAAAAH+b++M=",0)</f>
        <v>#REF!</v>
      </c>
      <c r="HU4" t="e">
        <f>IF(#REF!,"AAAAAH+b++Q=",0)</f>
        <v>#REF!</v>
      </c>
      <c r="HV4" t="e">
        <f>IF(#REF!,"AAAAAH+b++U=",0)</f>
        <v>#REF!</v>
      </c>
      <c r="HW4" t="e">
        <f>IF(#REF!,"AAAAAH+b++Y=",0)</f>
        <v>#REF!</v>
      </c>
      <c r="HX4" t="e">
        <f>IF(#REF!,"AAAAAH+b++c=",0)</f>
        <v>#REF!</v>
      </c>
      <c r="HY4" t="e">
        <f>IF(#REF!,"AAAAAH+b++g=",0)</f>
        <v>#REF!</v>
      </c>
      <c r="HZ4" t="e">
        <f>IF(#REF!,"AAAAAH+b++k=",0)</f>
        <v>#REF!</v>
      </c>
      <c r="IA4" t="e">
        <f>IF(#REF!,"AAAAAH+b++o=",0)</f>
        <v>#REF!</v>
      </c>
      <c r="IB4" t="e">
        <f>IF(#REF!,"AAAAAH+b++s=",0)</f>
        <v>#REF!</v>
      </c>
      <c r="IC4" t="e">
        <f>IF(#REF!,"AAAAAH+b++w=",0)</f>
        <v>#REF!</v>
      </c>
      <c r="ID4" t="e">
        <f>IF(#REF!,"AAAAAH+b++0=",0)</f>
        <v>#REF!</v>
      </c>
      <c r="IE4" t="e">
        <f>IF(#REF!,"AAAAAH+b++4=",0)</f>
        <v>#REF!</v>
      </c>
      <c r="IF4" t="e">
        <f>IF(#REF!,"AAAAAH+b++8=",0)</f>
        <v>#REF!</v>
      </c>
      <c r="IG4" t="e">
        <f>IF(#REF!,"AAAAAH+b+/A=",0)</f>
        <v>#REF!</v>
      </c>
      <c r="IH4" t="e">
        <f>IF(#REF!,"AAAAAH+b+/E=",0)</f>
        <v>#REF!</v>
      </c>
      <c r="II4" t="e">
        <f>IF(#REF!,"AAAAAH+b+/I=",0)</f>
        <v>#REF!</v>
      </c>
      <c r="IJ4" t="e">
        <f>IF(#REF!,"AAAAAH+b+/M=",0)</f>
        <v>#REF!</v>
      </c>
      <c r="IK4" t="e">
        <f>IF(#REF!,"AAAAAH+b+/Q=",0)</f>
        <v>#REF!</v>
      </c>
      <c r="IL4" t="e">
        <f>IF(#REF!,"AAAAAH+b+/U=",0)</f>
        <v>#REF!</v>
      </c>
      <c r="IM4" t="e">
        <f>IF(#REF!,"AAAAAH+b+/Y=",0)</f>
        <v>#REF!</v>
      </c>
      <c r="IN4" t="e">
        <f>IF(#REF!,"AAAAAH+b+/c=",0)</f>
        <v>#REF!</v>
      </c>
      <c r="IO4" t="e">
        <f>IF(#REF!,"AAAAAH+b+/g=",0)</f>
        <v>#REF!</v>
      </c>
      <c r="IP4" t="e">
        <f>IF(#REF!,"AAAAAH+b+/k=",0)</f>
        <v>#REF!</v>
      </c>
      <c r="IQ4" t="e">
        <f>IF(#REF!,"AAAAAH+b+/o=",0)</f>
        <v>#REF!</v>
      </c>
      <c r="IR4" t="e">
        <f>IF(#REF!,"AAAAAH+b+/s=",0)</f>
        <v>#REF!</v>
      </c>
      <c r="IS4" t="e">
        <f>IF(#REF!,"AAAAAH+b+/w=",0)</f>
        <v>#REF!</v>
      </c>
      <c r="IT4" t="e">
        <f>IF(#REF!,"AAAAAH+b+/0=",0)</f>
        <v>#REF!</v>
      </c>
      <c r="IU4" t="e">
        <f>IF(#REF!,"AAAAAH+b+/4=",0)</f>
        <v>#REF!</v>
      </c>
      <c r="IV4" t="e">
        <f>IF(#REF!,"AAAAAH+b+/8=",0)</f>
        <v>#REF!</v>
      </c>
    </row>
    <row r="5" spans="1:256">
      <c r="A5" t="e">
        <f>IF(#REF!,"AAAAAG/nvwA=",0)</f>
        <v>#REF!</v>
      </c>
      <c r="B5" t="e">
        <f>IF(#REF!,"AAAAAG/nvwE=",0)</f>
        <v>#REF!</v>
      </c>
      <c r="C5" t="e">
        <f>IF(#REF!,"AAAAAG/nvwI=",0)</f>
        <v>#REF!</v>
      </c>
      <c r="D5" t="e">
        <f>IF(#REF!,"AAAAAG/nvwM=",0)</f>
        <v>#REF!</v>
      </c>
      <c r="E5" t="e">
        <f>IF(#REF!,"AAAAAG/nvwQ=",0)</f>
        <v>#REF!</v>
      </c>
      <c r="F5" t="e">
        <f>IF(#REF!,"AAAAAG/nvwU=",0)</f>
        <v>#REF!</v>
      </c>
      <c r="G5" t="e">
        <f>IF(#REF!,"AAAAAG/nvwY=",0)</f>
        <v>#REF!</v>
      </c>
      <c r="H5" t="e">
        <f>IF(#REF!,"AAAAAG/nvwc=",0)</f>
        <v>#REF!</v>
      </c>
      <c r="I5" t="e">
        <f>IF(#REF!,"AAAAAG/nvwg=",0)</f>
        <v>#REF!</v>
      </c>
      <c r="J5" t="e">
        <f>IF(#REF!,"AAAAAG/nvwk=",0)</f>
        <v>#REF!</v>
      </c>
      <c r="K5" t="e">
        <f>IF(#REF!,"AAAAAG/nvwo=",0)</f>
        <v>#REF!</v>
      </c>
      <c r="L5" t="e">
        <f>IF(#REF!,"AAAAAG/nvws=",0)</f>
        <v>#REF!</v>
      </c>
      <c r="M5" t="e">
        <f>IF(#REF!,"AAAAAG/nvww=",0)</f>
        <v>#REF!</v>
      </c>
      <c r="N5" t="e">
        <f>IF(#REF!,"AAAAAG/nvw0=",0)</f>
        <v>#REF!</v>
      </c>
      <c r="O5" t="e">
        <f>IF(#REF!,"AAAAAG/nvw4=",0)</f>
        <v>#REF!</v>
      </c>
      <c r="P5" t="e">
        <f>IF(#REF!,"AAAAAG/nvw8=",0)</f>
        <v>#REF!</v>
      </c>
      <c r="Q5" t="e">
        <f>IF(#REF!,"AAAAAG/nvxA=",0)</f>
        <v>#REF!</v>
      </c>
      <c r="R5" t="e">
        <f>IF(#REF!,"AAAAAG/nvxE=",0)</f>
        <v>#REF!</v>
      </c>
      <c r="S5" t="e">
        <f>IF(#REF!,"AAAAAG/nvxI=",0)</f>
        <v>#REF!</v>
      </c>
      <c r="T5" t="e">
        <f>IF(#REF!,"AAAAAG/nvxM=",0)</f>
        <v>#REF!</v>
      </c>
      <c r="U5" t="e">
        <f>IF(#REF!,"AAAAAG/nvxQ=",0)</f>
        <v>#REF!</v>
      </c>
      <c r="V5" t="e">
        <f>IF(#REF!,"AAAAAG/nvxU=",0)</f>
        <v>#REF!</v>
      </c>
      <c r="W5" t="e">
        <f>IF(#REF!,"AAAAAG/nvxY=",0)</f>
        <v>#REF!</v>
      </c>
      <c r="X5" t="e">
        <f>IF(#REF!,"AAAAAG/nvxc=",0)</f>
        <v>#REF!</v>
      </c>
      <c r="Y5" t="e">
        <f>IF(#REF!,"AAAAAG/nvxg=",0)</f>
        <v>#REF!</v>
      </c>
      <c r="Z5" t="e">
        <f>IF(#REF!,"AAAAAG/nvxk=",0)</f>
        <v>#REF!</v>
      </c>
      <c r="AA5" t="e">
        <f>IF(#REF!,"AAAAAG/nvxo=",0)</f>
        <v>#REF!</v>
      </c>
      <c r="AB5" t="e">
        <f>IF(#REF!,"AAAAAG/nvxs=",0)</f>
        <v>#REF!</v>
      </c>
      <c r="AC5" t="e">
        <f>IF(#REF!,"AAAAAG/nvxw=",0)</f>
        <v>#REF!</v>
      </c>
      <c r="AD5" t="e">
        <f>IF(#REF!,"AAAAAG/nvx0=",0)</f>
        <v>#REF!</v>
      </c>
      <c r="AE5" t="e">
        <f>IF(#REF!,"AAAAAG/nvx4=",0)</f>
        <v>#REF!</v>
      </c>
      <c r="AF5" t="e">
        <f>IF(#REF!,"AAAAAG/nvx8=",0)</f>
        <v>#REF!</v>
      </c>
      <c r="AG5" t="e">
        <f>IF(#REF!,"AAAAAG/nvyA=",0)</f>
        <v>#REF!</v>
      </c>
      <c r="AH5" t="e">
        <f>IF(#REF!,"AAAAAG/nvyE=",0)</f>
        <v>#REF!</v>
      </c>
      <c r="AI5" t="e">
        <f>IF(#REF!,"AAAAAG/nvyI=",0)</f>
        <v>#REF!</v>
      </c>
      <c r="AJ5" t="e">
        <f>IF(#REF!,"AAAAAG/nvyM=",0)</f>
        <v>#REF!</v>
      </c>
      <c r="AK5" t="e">
        <f>IF(#REF!,"AAAAAG/nvyQ=",0)</f>
        <v>#REF!</v>
      </c>
      <c r="AL5" t="e">
        <f>IF(#REF!,"AAAAAG/nvyU=",0)</f>
        <v>#REF!</v>
      </c>
      <c r="AM5" t="e">
        <f>IF(#REF!,"AAAAAG/nvyY=",0)</f>
        <v>#REF!</v>
      </c>
      <c r="AN5" t="e">
        <f>IF(#REF!,"AAAAAG/nvyc=",0)</f>
        <v>#REF!</v>
      </c>
      <c r="AO5" t="e">
        <f>IF(#REF!,"AAAAAG/nvyg=",0)</f>
        <v>#REF!</v>
      </c>
      <c r="AP5" t="e">
        <f>IF(#REF!,"AAAAAG/nvyk=",0)</f>
        <v>#REF!</v>
      </c>
      <c r="AQ5" t="e">
        <f>IF(#REF!,"AAAAAG/nvyo=",0)</f>
        <v>#REF!</v>
      </c>
      <c r="AR5" t="e">
        <f>IF(#REF!,"AAAAAG/nvys=",0)</f>
        <v>#REF!</v>
      </c>
      <c r="AS5" t="e">
        <f>IF(#REF!,"AAAAAG/nvyw=",0)</f>
        <v>#REF!</v>
      </c>
      <c r="AT5" t="e">
        <f>IF(#REF!,"AAAAAG/nvy0=",0)</f>
        <v>#REF!</v>
      </c>
      <c r="AU5" t="e">
        <f>AND(#REF!,"AAAAAG/nvy4=")</f>
        <v>#REF!</v>
      </c>
      <c r="AV5" t="e">
        <f>AND(#REF!,"AAAAAG/nvy8=")</f>
        <v>#REF!</v>
      </c>
      <c r="AW5" t="e">
        <f>AND(#REF!,"AAAAAG/nvzA=")</f>
        <v>#REF!</v>
      </c>
      <c r="AX5" t="e">
        <f>AND(#REF!,"AAAAAG/nvzE=")</f>
        <v>#REF!</v>
      </c>
      <c r="AY5" t="e">
        <f>AND(#REF!,"AAAAAG/nvzI=")</f>
        <v>#REF!</v>
      </c>
      <c r="AZ5" t="e">
        <f>AND(#REF!,"AAAAAG/nvzM=")</f>
        <v>#REF!</v>
      </c>
      <c r="BA5" t="e">
        <f>AND(#REF!,"AAAAAG/nvzQ=")</f>
        <v>#REF!</v>
      </c>
      <c r="BB5" t="e">
        <f>AND(#REF!,"AAAAAG/nvzU=")</f>
        <v>#REF!</v>
      </c>
      <c r="BC5" t="e">
        <f>AND(#REF!,"AAAAAG/nvzY=")</f>
        <v>#REF!</v>
      </c>
      <c r="BD5" t="e">
        <f>AND(#REF!,"AAAAAG/nvzc=")</f>
        <v>#REF!</v>
      </c>
      <c r="BE5" t="e">
        <f>AND(#REF!,"AAAAAG/nvzg=")</f>
        <v>#REF!</v>
      </c>
      <c r="BF5" t="e">
        <f>AND(#REF!,"AAAAAG/nvzk=")</f>
        <v>#REF!</v>
      </c>
      <c r="BG5" t="e">
        <f>IF(#REF!,"AAAAAG/nvzo=",0)</f>
        <v>#REF!</v>
      </c>
      <c r="BH5" t="e">
        <f>AND(#REF!,"AAAAAG/nvzs=")</f>
        <v>#REF!</v>
      </c>
      <c r="BI5" t="e">
        <f>AND(#REF!,"AAAAAG/nvzw=")</f>
        <v>#REF!</v>
      </c>
      <c r="BJ5" t="e">
        <f>AND(#REF!,"AAAAAG/nvz0=")</f>
        <v>#REF!</v>
      </c>
      <c r="BK5" t="e">
        <f>AND(#REF!,"AAAAAG/nvz4=")</f>
        <v>#REF!</v>
      </c>
      <c r="BL5" t="e">
        <f>AND(#REF!,"AAAAAG/nvz8=")</f>
        <v>#REF!</v>
      </c>
      <c r="BM5" t="e">
        <f>AND(#REF!,"AAAAAG/nv0A=")</f>
        <v>#REF!</v>
      </c>
      <c r="BN5" t="e">
        <f>AND(#REF!,"AAAAAG/nv0E=")</f>
        <v>#REF!</v>
      </c>
      <c r="BO5" t="e">
        <f>AND(#REF!,"AAAAAG/nv0I=")</f>
        <v>#REF!</v>
      </c>
      <c r="BP5" t="e">
        <f>AND(#REF!,"AAAAAG/nv0M=")</f>
        <v>#REF!</v>
      </c>
      <c r="BQ5" t="e">
        <f>AND(#REF!,"AAAAAG/nv0Q=")</f>
        <v>#REF!</v>
      </c>
      <c r="BR5" t="e">
        <f>AND(#REF!,"AAAAAG/nv0U=")</f>
        <v>#REF!</v>
      </c>
      <c r="BS5" t="e">
        <f>AND(#REF!,"AAAAAG/nv0Y=")</f>
        <v>#REF!</v>
      </c>
      <c r="BT5" t="e">
        <f>IF(#REF!,"AAAAAG/nv0c=",0)</f>
        <v>#REF!</v>
      </c>
      <c r="BU5" t="e">
        <f>AND(#REF!,"AAAAAG/nv0g=")</f>
        <v>#REF!</v>
      </c>
      <c r="BV5" t="e">
        <f>AND(#REF!,"AAAAAG/nv0k=")</f>
        <v>#REF!</v>
      </c>
      <c r="BW5" t="e">
        <f>AND(#REF!,"AAAAAG/nv0o=")</f>
        <v>#REF!</v>
      </c>
      <c r="BX5" t="e">
        <f>AND(#REF!,"AAAAAG/nv0s=")</f>
        <v>#REF!</v>
      </c>
      <c r="BY5" t="e">
        <f>AND(#REF!,"AAAAAG/nv0w=")</f>
        <v>#REF!</v>
      </c>
      <c r="BZ5" t="e">
        <f>AND(#REF!,"AAAAAG/nv00=")</f>
        <v>#REF!</v>
      </c>
      <c r="CA5" t="e">
        <f>AND(#REF!,"AAAAAG/nv04=")</f>
        <v>#REF!</v>
      </c>
      <c r="CB5" t="e">
        <f>AND(#REF!,"AAAAAG/nv08=")</f>
        <v>#REF!</v>
      </c>
      <c r="CC5" t="e">
        <f>AND(#REF!,"AAAAAG/nv1A=")</f>
        <v>#REF!</v>
      </c>
      <c r="CD5" t="e">
        <f>AND(#REF!,"AAAAAG/nv1E=")</f>
        <v>#REF!</v>
      </c>
      <c r="CE5" t="e">
        <f>AND(#REF!,"AAAAAG/nv1I=")</f>
        <v>#REF!</v>
      </c>
      <c r="CF5" t="e">
        <f>AND(#REF!,"AAAAAG/nv1M=")</f>
        <v>#REF!</v>
      </c>
      <c r="CG5" t="e">
        <f>IF(#REF!,"AAAAAG/nv1Q=",0)</f>
        <v>#REF!</v>
      </c>
      <c r="CH5" t="e">
        <f>AND(#REF!,"AAAAAG/nv1U=")</f>
        <v>#REF!</v>
      </c>
      <c r="CI5" t="e">
        <f>AND(#REF!,"AAAAAG/nv1Y=")</f>
        <v>#REF!</v>
      </c>
      <c r="CJ5" t="e">
        <f>AND(#REF!,"AAAAAG/nv1c=")</f>
        <v>#REF!</v>
      </c>
      <c r="CK5" t="e">
        <f>AND(#REF!,"AAAAAG/nv1g=")</f>
        <v>#REF!</v>
      </c>
      <c r="CL5" t="e">
        <f>AND(#REF!,"AAAAAG/nv1k=")</f>
        <v>#REF!</v>
      </c>
      <c r="CM5" t="e">
        <f>AND(#REF!,"AAAAAG/nv1o=")</f>
        <v>#REF!</v>
      </c>
      <c r="CN5" t="e">
        <f>AND(#REF!,"AAAAAG/nv1s=")</f>
        <v>#REF!</v>
      </c>
      <c r="CO5" t="e">
        <f>AND(#REF!,"AAAAAG/nv1w=")</f>
        <v>#REF!</v>
      </c>
      <c r="CP5" t="e">
        <f>AND(#REF!,"AAAAAG/nv10=")</f>
        <v>#REF!</v>
      </c>
      <c r="CQ5" t="e">
        <f>AND(#REF!,"AAAAAG/nv14=")</f>
        <v>#REF!</v>
      </c>
      <c r="CR5" t="e">
        <f>AND(#REF!,"AAAAAG/nv18=")</f>
        <v>#REF!</v>
      </c>
      <c r="CS5" t="e">
        <f>AND(#REF!,"AAAAAG/nv2A=")</f>
        <v>#REF!</v>
      </c>
      <c r="CT5" t="e">
        <f>IF(#REF!,"AAAAAG/nv2E=",0)</f>
        <v>#REF!</v>
      </c>
      <c r="CU5" t="e">
        <f>AND(#REF!,"AAAAAG/nv2I=")</f>
        <v>#REF!</v>
      </c>
      <c r="CV5" t="e">
        <f>AND(#REF!,"AAAAAG/nv2M=")</f>
        <v>#REF!</v>
      </c>
      <c r="CW5" t="e">
        <f>AND(#REF!,"AAAAAG/nv2Q=")</f>
        <v>#REF!</v>
      </c>
      <c r="CX5" t="e">
        <f>AND(#REF!,"AAAAAG/nv2U=")</f>
        <v>#REF!</v>
      </c>
      <c r="CY5" t="e">
        <f>AND(#REF!,"AAAAAG/nv2Y=")</f>
        <v>#REF!</v>
      </c>
      <c r="CZ5" t="e">
        <f>AND(#REF!,"AAAAAG/nv2c=")</f>
        <v>#REF!</v>
      </c>
      <c r="DA5" t="e">
        <f>AND(#REF!,"AAAAAG/nv2g=")</f>
        <v>#REF!</v>
      </c>
      <c r="DB5" t="e">
        <f>AND(#REF!,"AAAAAG/nv2k=")</f>
        <v>#REF!</v>
      </c>
      <c r="DC5" t="e">
        <f>AND(#REF!,"AAAAAG/nv2o=")</f>
        <v>#REF!</v>
      </c>
      <c r="DD5" t="e">
        <f>AND(#REF!,"AAAAAG/nv2s=")</f>
        <v>#REF!</v>
      </c>
      <c r="DE5" t="e">
        <f>AND(#REF!,"AAAAAG/nv2w=")</f>
        <v>#REF!</v>
      </c>
      <c r="DF5" t="e">
        <f>AND(#REF!,"AAAAAG/nv20=")</f>
        <v>#REF!</v>
      </c>
      <c r="DG5" t="e">
        <f>IF(#REF!,"AAAAAG/nv24=",0)</f>
        <v>#REF!</v>
      </c>
      <c r="DH5" t="e">
        <f>AND(#REF!,"AAAAAG/nv28=")</f>
        <v>#REF!</v>
      </c>
      <c r="DI5" t="e">
        <f>AND(#REF!,"AAAAAG/nv3A=")</f>
        <v>#REF!</v>
      </c>
      <c r="DJ5" t="e">
        <f>AND(#REF!,"AAAAAG/nv3E=")</f>
        <v>#REF!</v>
      </c>
      <c r="DK5" t="e">
        <f>AND(#REF!,"AAAAAG/nv3I=")</f>
        <v>#REF!</v>
      </c>
      <c r="DL5" t="e">
        <f>AND(#REF!,"AAAAAG/nv3M=")</f>
        <v>#REF!</v>
      </c>
      <c r="DM5" t="e">
        <f>AND(#REF!,"AAAAAG/nv3Q=")</f>
        <v>#REF!</v>
      </c>
      <c r="DN5" t="e">
        <f>AND(#REF!,"AAAAAG/nv3U=")</f>
        <v>#REF!</v>
      </c>
      <c r="DO5" t="e">
        <f>AND(#REF!,"AAAAAG/nv3Y=")</f>
        <v>#REF!</v>
      </c>
      <c r="DP5" t="e">
        <f>AND(#REF!,"AAAAAG/nv3c=")</f>
        <v>#REF!</v>
      </c>
      <c r="DQ5" t="e">
        <f>AND(#REF!,"AAAAAG/nv3g=")</f>
        <v>#REF!</v>
      </c>
      <c r="DR5" t="e">
        <f>AND(#REF!,"AAAAAG/nv3k=")</f>
        <v>#REF!</v>
      </c>
      <c r="DS5" t="e">
        <f>AND(#REF!,"AAAAAG/nv3o=")</f>
        <v>#REF!</v>
      </c>
      <c r="DT5" t="e">
        <f>IF(#REF!,"AAAAAG/nv3s=",0)</f>
        <v>#REF!</v>
      </c>
      <c r="DU5" t="e">
        <f>AND(#REF!,"AAAAAG/nv3w=")</f>
        <v>#REF!</v>
      </c>
      <c r="DV5" t="e">
        <f>AND(#REF!,"AAAAAG/nv30=")</f>
        <v>#REF!</v>
      </c>
      <c r="DW5" t="e">
        <f>AND(#REF!,"AAAAAG/nv34=")</f>
        <v>#REF!</v>
      </c>
      <c r="DX5" t="e">
        <f>AND(#REF!,"AAAAAG/nv38=")</f>
        <v>#REF!</v>
      </c>
      <c r="DY5" t="e">
        <f>AND(#REF!,"AAAAAG/nv4A=")</f>
        <v>#REF!</v>
      </c>
      <c r="DZ5" t="e">
        <f>AND(#REF!,"AAAAAG/nv4E=")</f>
        <v>#REF!</v>
      </c>
      <c r="EA5" t="e">
        <f>AND(#REF!,"AAAAAG/nv4I=")</f>
        <v>#REF!</v>
      </c>
      <c r="EB5" t="e">
        <f>AND(#REF!,"AAAAAG/nv4M=")</f>
        <v>#REF!</v>
      </c>
      <c r="EC5" t="e">
        <f>AND(#REF!,"AAAAAG/nv4Q=")</f>
        <v>#REF!</v>
      </c>
      <c r="ED5" t="e">
        <f>AND(#REF!,"AAAAAG/nv4U=")</f>
        <v>#REF!</v>
      </c>
      <c r="EE5" t="e">
        <f>AND(#REF!,"AAAAAG/nv4Y=")</f>
        <v>#REF!</v>
      </c>
      <c r="EF5" t="e">
        <f>AND(#REF!,"AAAAAG/nv4c=")</f>
        <v>#REF!</v>
      </c>
      <c r="EG5" t="e">
        <f>IF(#REF!,"AAAAAG/nv4g=",0)</f>
        <v>#REF!</v>
      </c>
      <c r="EH5" t="e">
        <f>AND(#REF!,"AAAAAG/nv4k=")</f>
        <v>#REF!</v>
      </c>
      <c r="EI5" t="e">
        <f>AND(#REF!,"AAAAAG/nv4o=")</f>
        <v>#REF!</v>
      </c>
      <c r="EJ5" t="e">
        <f>AND(#REF!,"AAAAAG/nv4s=")</f>
        <v>#REF!</v>
      </c>
      <c r="EK5" t="e">
        <f>AND(#REF!,"AAAAAG/nv4w=")</f>
        <v>#REF!</v>
      </c>
      <c r="EL5" t="e">
        <f>AND(#REF!,"AAAAAG/nv40=")</f>
        <v>#REF!</v>
      </c>
      <c r="EM5" t="e">
        <f>AND(#REF!,"AAAAAG/nv44=")</f>
        <v>#REF!</v>
      </c>
      <c r="EN5" t="e">
        <f>AND(#REF!,"AAAAAG/nv48=")</f>
        <v>#REF!</v>
      </c>
      <c r="EO5" t="e">
        <f>AND(#REF!,"AAAAAG/nv5A=")</f>
        <v>#REF!</v>
      </c>
      <c r="EP5" t="e">
        <f>AND(#REF!,"AAAAAG/nv5E=")</f>
        <v>#REF!</v>
      </c>
      <c r="EQ5" t="e">
        <f>AND(#REF!,"AAAAAG/nv5I=")</f>
        <v>#REF!</v>
      </c>
      <c r="ER5" t="e">
        <f>AND(#REF!,"AAAAAG/nv5M=")</f>
        <v>#REF!</v>
      </c>
      <c r="ES5" t="e">
        <f>AND(#REF!,"AAAAAG/nv5Q=")</f>
        <v>#REF!</v>
      </c>
      <c r="ET5" t="e">
        <f>IF(#REF!,"AAAAAG/nv5U=",0)</f>
        <v>#REF!</v>
      </c>
      <c r="EU5" t="e">
        <f>AND(#REF!,"AAAAAG/nv5Y=")</f>
        <v>#REF!</v>
      </c>
      <c r="EV5" t="e">
        <f>AND(#REF!,"AAAAAG/nv5c=")</f>
        <v>#REF!</v>
      </c>
      <c r="EW5" t="e">
        <f>AND(#REF!,"AAAAAG/nv5g=")</f>
        <v>#REF!</v>
      </c>
      <c r="EX5" t="e">
        <f>AND(#REF!,"AAAAAG/nv5k=")</f>
        <v>#REF!</v>
      </c>
      <c r="EY5" t="e">
        <f>AND(#REF!,"AAAAAG/nv5o=")</f>
        <v>#REF!</v>
      </c>
      <c r="EZ5" t="e">
        <f>AND(#REF!,"AAAAAG/nv5s=")</f>
        <v>#REF!</v>
      </c>
      <c r="FA5" t="e">
        <f>AND(#REF!,"AAAAAG/nv5w=")</f>
        <v>#REF!</v>
      </c>
      <c r="FB5" t="e">
        <f>AND(#REF!,"AAAAAG/nv50=")</f>
        <v>#REF!</v>
      </c>
      <c r="FC5" t="e">
        <f>AND(#REF!,"AAAAAG/nv54=")</f>
        <v>#REF!</v>
      </c>
      <c r="FD5" t="e">
        <f>AND(#REF!,"AAAAAG/nv58=")</f>
        <v>#REF!</v>
      </c>
      <c r="FE5" t="e">
        <f>AND(#REF!,"AAAAAG/nv6A=")</f>
        <v>#REF!</v>
      </c>
      <c r="FF5" t="e">
        <f>AND(#REF!,"AAAAAG/nv6E=")</f>
        <v>#REF!</v>
      </c>
      <c r="FG5" t="e">
        <f>IF(#REF!,"AAAAAG/nv6I=",0)</f>
        <v>#REF!</v>
      </c>
      <c r="FH5" t="e">
        <f>AND(#REF!,"AAAAAG/nv6M=")</f>
        <v>#REF!</v>
      </c>
      <c r="FI5" t="e">
        <f>AND(#REF!,"AAAAAG/nv6Q=")</f>
        <v>#REF!</v>
      </c>
      <c r="FJ5" t="e">
        <f>AND(#REF!,"AAAAAG/nv6U=")</f>
        <v>#REF!</v>
      </c>
      <c r="FK5" t="e">
        <f>AND(#REF!,"AAAAAG/nv6Y=")</f>
        <v>#REF!</v>
      </c>
      <c r="FL5" t="e">
        <f>AND(#REF!,"AAAAAG/nv6c=")</f>
        <v>#REF!</v>
      </c>
      <c r="FM5" t="e">
        <f>AND(#REF!,"AAAAAG/nv6g=")</f>
        <v>#REF!</v>
      </c>
      <c r="FN5" t="e">
        <f>AND(#REF!,"AAAAAG/nv6k=")</f>
        <v>#REF!</v>
      </c>
      <c r="FO5" t="e">
        <f>AND(#REF!,"AAAAAG/nv6o=")</f>
        <v>#REF!</v>
      </c>
      <c r="FP5" t="e">
        <f>AND(#REF!,"AAAAAG/nv6s=")</f>
        <v>#REF!</v>
      </c>
      <c r="FQ5" t="e">
        <f>AND(#REF!,"AAAAAG/nv6w=")</f>
        <v>#REF!</v>
      </c>
      <c r="FR5" t="e">
        <f>AND(#REF!,"AAAAAG/nv60=")</f>
        <v>#REF!</v>
      </c>
      <c r="FS5" t="e">
        <f>AND(#REF!,"AAAAAG/nv64=")</f>
        <v>#REF!</v>
      </c>
      <c r="FT5" t="e">
        <f>IF(#REF!,"AAAAAG/nv68=",0)</f>
        <v>#REF!</v>
      </c>
      <c r="FU5" t="e">
        <f>AND(#REF!,"AAAAAG/nv7A=")</f>
        <v>#REF!</v>
      </c>
      <c r="FV5" t="e">
        <f>AND(#REF!,"AAAAAG/nv7E=")</f>
        <v>#REF!</v>
      </c>
      <c r="FW5" t="e">
        <f>AND(#REF!,"AAAAAG/nv7I=")</f>
        <v>#REF!</v>
      </c>
      <c r="FX5" t="e">
        <f>AND(#REF!,"AAAAAG/nv7M=")</f>
        <v>#REF!</v>
      </c>
      <c r="FY5" t="e">
        <f>AND(#REF!,"AAAAAG/nv7Q=")</f>
        <v>#REF!</v>
      </c>
      <c r="FZ5" t="e">
        <f>AND(#REF!,"AAAAAG/nv7U=")</f>
        <v>#REF!</v>
      </c>
      <c r="GA5" t="e">
        <f>AND(#REF!,"AAAAAG/nv7Y=")</f>
        <v>#REF!</v>
      </c>
      <c r="GB5" t="e">
        <f>AND(#REF!,"AAAAAG/nv7c=")</f>
        <v>#REF!</v>
      </c>
      <c r="GC5" t="e">
        <f>AND(#REF!,"AAAAAG/nv7g=")</f>
        <v>#REF!</v>
      </c>
      <c r="GD5" t="e">
        <f>AND(#REF!,"AAAAAG/nv7k=")</f>
        <v>#REF!</v>
      </c>
      <c r="GE5" t="e">
        <f>AND(#REF!,"AAAAAG/nv7o=")</f>
        <v>#REF!</v>
      </c>
      <c r="GF5" t="e">
        <f>AND(#REF!,"AAAAAG/nv7s=")</f>
        <v>#REF!</v>
      </c>
      <c r="GG5" t="e">
        <f>IF(#REF!,"AAAAAG/nv7w=",0)</f>
        <v>#REF!</v>
      </c>
      <c r="GH5" t="e">
        <f>AND(#REF!,"AAAAAG/nv70=")</f>
        <v>#REF!</v>
      </c>
      <c r="GI5" t="e">
        <f>AND(#REF!,"AAAAAG/nv74=")</f>
        <v>#REF!</v>
      </c>
      <c r="GJ5" t="e">
        <f>AND(#REF!,"AAAAAG/nv78=")</f>
        <v>#REF!</v>
      </c>
      <c r="GK5" t="e">
        <f>AND(#REF!,"AAAAAG/nv8A=")</f>
        <v>#REF!</v>
      </c>
      <c r="GL5" t="e">
        <f>AND(#REF!,"AAAAAG/nv8E=")</f>
        <v>#REF!</v>
      </c>
      <c r="GM5" t="e">
        <f>AND(#REF!,"AAAAAG/nv8I=")</f>
        <v>#REF!</v>
      </c>
      <c r="GN5" t="e">
        <f>AND(#REF!,"AAAAAG/nv8M=")</f>
        <v>#REF!</v>
      </c>
      <c r="GO5" t="e">
        <f>AND(#REF!,"AAAAAG/nv8Q=")</f>
        <v>#REF!</v>
      </c>
      <c r="GP5" t="e">
        <f>AND(#REF!,"AAAAAG/nv8U=")</f>
        <v>#REF!</v>
      </c>
      <c r="GQ5" t="e">
        <f>AND(#REF!,"AAAAAG/nv8Y=")</f>
        <v>#REF!</v>
      </c>
      <c r="GR5" t="e">
        <f>AND(#REF!,"AAAAAG/nv8c=")</f>
        <v>#REF!</v>
      </c>
      <c r="GS5" t="e">
        <f>AND(#REF!,"AAAAAG/nv8g=")</f>
        <v>#REF!</v>
      </c>
      <c r="GT5" t="e">
        <f>IF(#REF!,"AAAAAG/nv8k=",0)</f>
        <v>#REF!</v>
      </c>
      <c r="GU5" t="e">
        <f>AND(#REF!,"AAAAAG/nv8o=")</f>
        <v>#REF!</v>
      </c>
      <c r="GV5" t="e">
        <f>AND(#REF!,"AAAAAG/nv8s=")</f>
        <v>#REF!</v>
      </c>
      <c r="GW5" t="e">
        <f>AND(#REF!,"AAAAAG/nv8w=")</f>
        <v>#REF!</v>
      </c>
      <c r="GX5" t="e">
        <f>AND(#REF!,"AAAAAG/nv80=")</f>
        <v>#REF!</v>
      </c>
      <c r="GY5" t="e">
        <f>AND(#REF!,"AAAAAG/nv84=")</f>
        <v>#REF!</v>
      </c>
      <c r="GZ5" t="e">
        <f>AND(#REF!,"AAAAAG/nv88=")</f>
        <v>#REF!</v>
      </c>
      <c r="HA5" t="e">
        <f>AND(#REF!,"AAAAAG/nv9A=")</f>
        <v>#REF!</v>
      </c>
      <c r="HB5" t="e">
        <f>AND(#REF!,"AAAAAG/nv9E=")</f>
        <v>#REF!</v>
      </c>
      <c r="HC5" t="e">
        <f>AND(#REF!,"AAAAAG/nv9I=")</f>
        <v>#REF!</v>
      </c>
      <c r="HD5" t="e">
        <f>AND(#REF!,"AAAAAG/nv9M=")</f>
        <v>#REF!</v>
      </c>
      <c r="HE5" t="e">
        <f>AND(#REF!,"AAAAAG/nv9Q=")</f>
        <v>#REF!</v>
      </c>
      <c r="HF5" t="e">
        <f>AND(#REF!,"AAAAAG/nv9U=")</f>
        <v>#REF!</v>
      </c>
      <c r="HG5" t="e">
        <f>IF(#REF!,"AAAAAG/nv9Y=",0)</f>
        <v>#REF!</v>
      </c>
      <c r="HH5" t="e">
        <f>AND(#REF!,"AAAAAG/nv9c=")</f>
        <v>#REF!</v>
      </c>
      <c r="HI5" t="e">
        <f>AND(#REF!,"AAAAAG/nv9g=")</f>
        <v>#REF!</v>
      </c>
      <c r="HJ5" t="e">
        <f>AND(#REF!,"AAAAAG/nv9k=")</f>
        <v>#REF!</v>
      </c>
      <c r="HK5" t="e">
        <f>AND(#REF!,"AAAAAG/nv9o=")</f>
        <v>#REF!</v>
      </c>
      <c r="HL5" t="e">
        <f>AND(#REF!,"AAAAAG/nv9s=")</f>
        <v>#REF!</v>
      </c>
      <c r="HM5" t="e">
        <f>AND(#REF!,"AAAAAG/nv9w=")</f>
        <v>#REF!</v>
      </c>
      <c r="HN5" t="e">
        <f>AND(#REF!,"AAAAAG/nv90=")</f>
        <v>#REF!</v>
      </c>
      <c r="HO5" t="e">
        <f>AND(#REF!,"AAAAAG/nv94=")</f>
        <v>#REF!</v>
      </c>
      <c r="HP5" t="e">
        <f>AND(#REF!,"AAAAAG/nv98=")</f>
        <v>#REF!</v>
      </c>
      <c r="HQ5" t="e">
        <f>AND(#REF!,"AAAAAG/nv+A=")</f>
        <v>#REF!</v>
      </c>
      <c r="HR5" t="e">
        <f>AND(#REF!,"AAAAAG/nv+E=")</f>
        <v>#REF!</v>
      </c>
      <c r="HS5" t="e">
        <f>AND(#REF!,"AAAAAG/nv+I=")</f>
        <v>#REF!</v>
      </c>
      <c r="HT5" t="e">
        <f>IF(#REF!,"AAAAAG/nv+M=",0)</f>
        <v>#REF!</v>
      </c>
      <c r="HU5" t="e">
        <f>AND(#REF!,"AAAAAG/nv+Q=")</f>
        <v>#REF!</v>
      </c>
      <c r="HV5" t="e">
        <f>AND(#REF!,"AAAAAG/nv+U=")</f>
        <v>#REF!</v>
      </c>
      <c r="HW5" t="e">
        <f>AND(#REF!,"AAAAAG/nv+Y=")</f>
        <v>#REF!</v>
      </c>
      <c r="HX5" t="e">
        <f>AND(#REF!,"AAAAAG/nv+c=")</f>
        <v>#REF!</v>
      </c>
      <c r="HY5" t="e">
        <f>AND(#REF!,"AAAAAG/nv+g=")</f>
        <v>#REF!</v>
      </c>
      <c r="HZ5" t="e">
        <f>AND(#REF!,"AAAAAG/nv+k=")</f>
        <v>#REF!</v>
      </c>
      <c r="IA5" t="e">
        <f>AND(#REF!,"AAAAAG/nv+o=")</f>
        <v>#REF!</v>
      </c>
      <c r="IB5" t="e">
        <f>AND(#REF!,"AAAAAG/nv+s=")</f>
        <v>#REF!</v>
      </c>
      <c r="IC5" t="e">
        <f>AND(#REF!,"AAAAAG/nv+w=")</f>
        <v>#REF!</v>
      </c>
      <c r="ID5" t="e">
        <f>AND(#REF!,"AAAAAG/nv+0=")</f>
        <v>#REF!</v>
      </c>
      <c r="IE5" t="e">
        <f>AND(#REF!,"AAAAAG/nv+4=")</f>
        <v>#REF!</v>
      </c>
      <c r="IF5" t="e">
        <f>AND(#REF!,"AAAAAG/nv+8=")</f>
        <v>#REF!</v>
      </c>
      <c r="IG5" t="e">
        <f>IF(#REF!,"AAAAAG/nv/A=",0)</f>
        <v>#REF!</v>
      </c>
      <c r="IH5" t="e">
        <f>AND(#REF!,"AAAAAG/nv/E=")</f>
        <v>#REF!</v>
      </c>
      <c r="II5" t="e">
        <f>AND(#REF!,"AAAAAG/nv/I=")</f>
        <v>#REF!</v>
      </c>
      <c r="IJ5" t="e">
        <f>AND(#REF!,"AAAAAG/nv/M=")</f>
        <v>#REF!</v>
      </c>
      <c r="IK5" t="e">
        <f>AND(#REF!,"AAAAAG/nv/Q=")</f>
        <v>#REF!</v>
      </c>
      <c r="IL5" t="e">
        <f>AND(#REF!,"AAAAAG/nv/U=")</f>
        <v>#REF!</v>
      </c>
      <c r="IM5" t="e">
        <f>AND(#REF!,"AAAAAG/nv/Y=")</f>
        <v>#REF!</v>
      </c>
      <c r="IN5" t="e">
        <f>AND(#REF!,"AAAAAG/nv/c=")</f>
        <v>#REF!</v>
      </c>
      <c r="IO5" t="e">
        <f>AND(#REF!,"AAAAAG/nv/g=")</f>
        <v>#REF!</v>
      </c>
      <c r="IP5" t="e">
        <f>AND(#REF!,"AAAAAG/nv/k=")</f>
        <v>#REF!</v>
      </c>
      <c r="IQ5" t="e">
        <f>AND(#REF!,"AAAAAG/nv/o=")</f>
        <v>#REF!</v>
      </c>
      <c r="IR5" t="e">
        <f>AND(#REF!,"AAAAAG/nv/s=")</f>
        <v>#REF!</v>
      </c>
      <c r="IS5" t="e">
        <f>AND(#REF!,"AAAAAG/nv/w=")</f>
        <v>#REF!</v>
      </c>
      <c r="IT5" t="e">
        <f>IF(#REF!,"AAAAAG/nv/0=",0)</f>
        <v>#REF!</v>
      </c>
      <c r="IU5" t="e">
        <f>AND(#REF!,"AAAAAG/nv/4=")</f>
        <v>#REF!</v>
      </c>
      <c r="IV5" t="e">
        <f>AND(#REF!,"AAAAAG/nv/8=")</f>
        <v>#REF!</v>
      </c>
    </row>
    <row r="6" spans="1:256">
      <c r="A6" t="e">
        <f>AND(#REF!,"AAAAAFeTqAA=")</f>
        <v>#REF!</v>
      </c>
      <c r="B6" t="e">
        <f>AND(#REF!,"AAAAAFeTqAE=")</f>
        <v>#REF!</v>
      </c>
      <c r="C6" t="e">
        <f>AND(#REF!,"AAAAAFeTqAI=")</f>
        <v>#REF!</v>
      </c>
      <c r="D6" t="e">
        <f>AND(#REF!,"AAAAAFeTqAM=")</f>
        <v>#REF!</v>
      </c>
      <c r="E6" t="e">
        <f>AND(#REF!,"AAAAAFeTqAQ=")</f>
        <v>#REF!</v>
      </c>
      <c r="F6" t="e">
        <f>AND(#REF!,"AAAAAFeTqAU=")</f>
        <v>#REF!</v>
      </c>
      <c r="G6" t="e">
        <f>AND(#REF!,"AAAAAFeTqAY=")</f>
        <v>#REF!</v>
      </c>
      <c r="H6" t="e">
        <f>AND(#REF!,"AAAAAFeTqAc=")</f>
        <v>#REF!</v>
      </c>
      <c r="I6" t="e">
        <f>AND(#REF!,"AAAAAFeTqAg=")</f>
        <v>#REF!</v>
      </c>
      <c r="J6" t="e">
        <f>AND(#REF!,"AAAAAFeTqAk=")</f>
        <v>#REF!</v>
      </c>
      <c r="K6" t="e">
        <f>IF(#REF!,"AAAAAFeTqAo=",0)</f>
        <v>#REF!</v>
      </c>
      <c r="L6" t="e">
        <f>AND(#REF!,"AAAAAFeTqAs=")</f>
        <v>#REF!</v>
      </c>
      <c r="M6" t="e">
        <f>AND(#REF!,"AAAAAFeTqAw=")</f>
        <v>#REF!</v>
      </c>
      <c r="N6" t="e">
        <f>AND(#REF!,"AAAAAFeTqA0=")</f>
        <v>#REF!</v>
      </c>
      <c r="O6" t="e">
        <f>AND(#REF!,"AAAAAFeTqA4=")</f>
        <v>#REF!</v>
      </c>
      <c r="P6" t="e">
        <f>AND(#REF!,"AAAAAFeTqA8=")</f>
        <v>#REF!</v>
      </c>
      <c r="Q6" t="e">
        <f>AND(#REF!,"AAAAAFeTqBA=")</f>
        <v>#REF!</v>
      </c>
      <c r="R6" t="e">
        <f>AND(#REF!,"AAAAAFeTqBE=")</f>
        <v>#REF!</v>
      </c>
      <c r="S6" t="e">
        <f>AND(#REF!,"AAAAAFeTqBI=")</f>
        <v>#REF!</v>
      </c>
      <c r="T6" t="e">
        <f>AND(#REF!,"AAAAAFeTqBM=")</f>
        <v>#REF!</v>
      </c>
      <c r="U6" t="e">
        <f>AND(#REF!,"AAAAAFeTqBQ=")</f>
        <v>#REF!</v>
      </c>
      <c r="V6" t="e">
        <f>AND(#REF!,"AAAAAFeTqBU=")</f>
        <v>#REF!</v>
      </c>
      <c r="W6" t="e">
        <f>AND(#REF!,"AAAAAFeTqBY=")</f>
        <v>#REF!</v>
      </c>
      <c r="X6" t="e">
        <f>IF(#REF!,"AAAAAFeTqBc=",0)</f>
        <v>#REF!</v>
      </c>
      <c r="Y6" t="e">
        <f>AND(#REF!,"AAAAAFeTqBg=")</f>
        <v>#REF!</v>
      </c>
      <c r="Z6" t="e">
        <f>AND(#REF!,"AAAAAFeTqBk=")</f>
        <v>#REF!</v>
      </c>
      <c r="AA6" t="e">
        <f>AND(#REF!,"AAAAAFeTqBo=")</f>
        <v>#REF!</v>
      </c>
      <c r="AB6" t="e">
        <f>AND(#REF!,"AAAAAFeTqBs=")</f>
        <v>#REF!</v>
      </c>
      <c r="AC6" t="e">
        <f>AND(#REF!,"AAAAAFeTqBw=")</f>
        <v>#REF!</v>
      </c>
      <c r="AD6" t="e">
        <f>AND(#REF!,"AAAAAFeTqB0=")</f>
        <v>#REF!</v>
      </c>
      <c r="AE6" t="e">
        <f>AND(#REF!,"AAAAAFeTqB4=")</f>
        <v>#REF!</v>
      </c>
      <c r="AF6" t="e">
        <f>AND(#REF!,"AAAAAFeTqB8=")</f>
        <v>#REF!</v>
      </c>
      <c r="AG6" t="e">
        <f>AND(#REF!,"AAAAAFeTqCA=")</f>
        <v>#REF!</v>
      </c>
      <c r="AH6" t="e">
        <f>AND(#REF!,"AAAAAFeTqCE=")</f>
        <v>#REF!</v>
      </c>
      <c r="AI6" t="e">
        <f>AND(#REF!,"AAAAAFeTqCI=")</f>
        <v>#REF!</v>
      </c>
      <c r="AJ6" t="e">
        <f>AND(#REF!,"AAAAAFeTqCM=")</f>
        <v>#REF!</v>
      </c>
      <c r="AK6" t="e">
        <f>IF(#REF!,"AAAAAFeTqCQ=",0)</f>
        <v>#REF!</v>
      </c>
      <c r="AL6" t="e">
        <f>AND(#REF!,"AAAAAFeTqCU=")</f>
        <v>#REF!</v>
      </c>
      <c r="AM6" t="e">
        <f>AND(#REF!,"AAAAAFeTqCY=")</f>
        <v>#REF!</v>
      </c>
      <c r="AN6" t="e">
        <f>AND(#REF!,"AAAAAFeTqCc=")</f>
        <v>#REF!</v>
      </c>
      <c r="AO6" t="e">
        <f>AND(#REF!,"AAAAAFeTqCg=")</f>
        <v>#REF!</v>
      </c>
      <c r="AP6" t="e">
        <f>AND(#REF!,"AAAAAFeTqCk=")</f>
        <v>#REF!</v>
      </c>
      <c r="AQ6" t="e">
        <f>AND(#REF!,"AAAAAFeTqCo=")</f>
        <v>#REF!</v>
      </c>
      <c r="AR6" t="e">
        <f>AND(#REF!,"AAAAAFeTqCs=")</f>
        <v>#REF!</v>
      </c>
      <c r="AS6" t="e">
        <f>AND(#REF!,"AAAAAFeTqCw=")</f>
        <v>#REF!</v>
      </c>
      <c r="AT6" t="e">
        <f>AND(#REF!,"AAAAAFeTqC0=")</f>
        <v>#REF!</v>
      </c>
      <c r="AU6" t="e">
        <f>AND(#REF!,"AAAAAFeTqC4=")</f>
        <v>#REF!</v>
      </c>
      <c r="AV6" t="e">
        <f>AND(#REF!,"AAAAAFeTqC8=")</f>
        <v>#REF!</v>
      </c>
      <c r="AW6" t="e">
        <f>AND(#REF!,"AAAAAFeTqDA=")</f>
        <v>#REF!</v>
      </c>
      <c r="AX6" t="e">
        <f>IF(#REF!,"AAAAAFeTqDE=",0)</f>
        <v>#REF!</v>
      </c>
      <c r="AY6" t="e">
        <f>AND(#REF!,"AAAAAFeTqDI=")</f>
        <v>#REF!</v>
      </c>
      <c r="AZ6" t="e">
        <f>AND(#REF!,"AAAAAFeTqDM=")</f>
        <v>#REF!</v>
      </c>
      <c r="BA6" t="e">
        <f>AND(#REF!,"AAAAAFeTqDQ=")</f>
        <v>#REF!</v>
      </c>
      <c r="BB6" t="e">
        <f>AND(#REF!,"AAAAAFeTqDU=")</f>
        <v>#REF!</v>
      </c>
      <c r="BC6" t="e">
        <f>AND(#REF!,"AAAAAFeTqDY=")</f>
        <v>#REF!</v>
      </c>
      <c r="BD6" t="e">
        <f>AND(#REF!,"AAAAAFeTqDc=")</f>
        <v>#REF!</v>
      </c>
      <c r="BE6" t="e">
        <f>AND(#REF!,"AAAAAFeTqDg=")</f>
        <v>#REF!</v>
      </c>
      <c r="BF6" t="e">
        <f>AND(#REF!,"AAAAAFeTqDk=")</f>
        <v>#REF!</v>
      </c>
      <c r="BG6" t="e">
        <f>AND(#REF!,"AAAAAFeTqDo=")</f>
        <v>#REF!</v>
      </c>
      <c r="BH6" t="e">
        <f>AND(#REF!,"AAAAAFeTqDs=")</f>
        <v>#REF!</v>
      </c>
      <c r="BI6" t="e">
        <f>AND(#REF!,"AAAAAFeTqDw=")</f>
        <v>#REF!</v>
      </c>
      <c r="BJ6" t="e">
        <f>AND(#REF!,"AAAAAFeTqD0=")</f>
        <v>#REF!</v>
      </c>
      <c r="BK6" t="e">
        <f>IF(#REF!,"AAAAAFeTqD4=",0)</f>
        <v>#REF!</v>
      </c>
      <c r="BL6" t="e">
        <f>AND(#REF!,"AAAAAFeTqD8=")</f>
        <v>#REF!</v>
      </c>
      <c r="BM6" t="e">
        <f>AND(#REF!,"AAAAAFeTqEA=")</f>
        <v>#REF!</v>
      </c>
      <c r="BN6" t="e">
        <f>AND(#REF!,"AAAAAFeTqEE=")</f>
        <v>#REF!</v>
      </c>
      <c r="BO6" t="e">
        <f>AND(#REF!,"AAAAAFeTqEI=")</f>
        <v>#REF!</v>
      </c>
      <c r="BP6" t="e">
        <f>AND(#REF!,"AAAAAFeTqEM=")</f>
        <v>#REF!</v>
      </c>
      <c r="BQ6" t="e">
        <f>AND(#REF!,"AAAAAFeTqEQ=")</f>
        <v>#REF!</v>
      </c>
      <c r="BR6" t="e">
        <f>AND(#REF!,"AAAAAFeTqEU=")</f>
        <v>#REF!</v>
      </c>
      <c r="BS6" t="e">
        <f>AND(#REF!,"AAAAAFeTqEY=")</f>
        <v>#REF!</v>
      </c>
      <c r="BT6" t="e">
        <f>AND(#REF!,"AAAAAFeTqEc=")</f>
        <v>#REF!</v>
      </c>
      <c r="BU6" t="e">
        <f>AND(#REF!,"AAAAAFeTqEg=")</f>
        <v>#REF!</v>
      </c>
      <c r="BV6" t="e">
        <f>AND(#REF!,"AAAAAFeTqEk=")</f>
        <v>#REF!</v>
      </c>
      <c r="BW6" t="e">
        <f>AND(#REF!,"AAAAAFeTqEo=")</f>
        <v>#REF!</v>
      </c>
      <c r="BX6" t="e">
        <f>IF(#REF!,"AAAAAFeTqEs=",0)</f>
        <v>#REF!</v>
      </c>
      <c r="BY6" t="e">
        <f>AND(#REF!,"AAAAAFeTqEw=")</f>
        <v>#REF!</v>
      </c>
      <c r="BZ6" t="e">
        <f>AND(#REF!,"AAAAAFeTqE0=")</f>
        <v>#REF!</v>
      </c>
      <c r="CA6" t="e">
        <f>AND(#REF!,"AAAAAFeTqE4=")</f>
        <v>#REF!</v>
      </c>
      <c r="CB6" t="e">
        <f>AND(#REF!,"AAAAAFeTqE8=")</f>
        <v>#REF!</v>
      </c>
      <c r="CC6" t="e">
        <f>AND(#REF!,"AAAAAFeTqFA=")</f>
        <v>#REF!</v>
      </c>
      <c r="CD6" t="e">
        <f>AND(#REF!,"AAAAAFeTqFE=")</f>
        <v>#REF!</v>
      </c>
      <c r="CE6" t="e">
        <f>AND(#REF!,"AAAAAFeTqFI=")</f>
        <v>#REF!</v>
      </c>
      <c r="CF6" t="e">
        <f>AND(#REF!,"AAAAAFeTqFM=")</f>
        <v>#REF!</v>
      </c>
      <c r="CG6" t="e">
        <f>AND(#REF!,"AAAAAFeTqFQ=")</f>
        <v>#REF!</v>
      </c>
      <c r="CH6" t="e">
        <f>AND(#REF!,"AAAAAFeTqFU=")</f>
        <v>#REF!</v>
      </c>
      <c r="CI6" t="e">
        <f>AND(#REF!,"AAAAAFeTqFY=")</f>
        <v>#REF!</v>
      </c>
      <c r="CJ6" t="e">
        <f>AND(#REF!,"AAAAAFeTqFc=")</f>
        <v>#REF!</v>
      </c>
      <c r="CK6" t="e">
        <f>IF(#REF!,"AAAAAFeTqFg=",0)</f>
        <v>#REF!</v>
      </c>
      <c r="CL6" t="e">
        <f>AND(#REF!,"AAAAAFeTqFk=")</f>
        <v>#REF!</v>
      </c>
      <c r="CM6" t="e">
        <f>AND(#REF!,"AAAAAFeTqFo=")</f>
        <v>#REF!</v>
      </c>
      <c r="CN6" t="e">
        <f>AND(#REF!,"AAAAAFeTqFs=")</f>
        <v>#REF!</v>
      </c>
      <c r="CO6" t="e">
        <f>AND(#REF!,"AAAAAFeTqFw=")</f>
        <v>#REF!</v>
      </c>
      <c r="CP6" t="e">
        <f>AND(#REF!,"AAAAAFeTqF0=")</f>
        <v>#REF!</v>
      </c>
      <c r="CQ6" t="e">
        <f>AND(#REF!,"AAAAAFeTqF4=")</f>
        <v>#REF!</v>
      </c>
      <c r="CR6" t="e">
        <f>AND(#REF!,"AAAAAFeTqF8=")</f>
        <v>#REF!</v>
      </c>
      <c r="CS6" t="e">
        <f>AND(#REF!,"AAAAAFeTqGA=")</f>
        <v>#REF!</v>
      </c>
      <c r="CT6" t="e">
        <f>AND(#REF!,"AAAAAFeTqGE=")</f>
        <v>#REF!</v>
      </c>
      <c r="CU6" t="e">
        <f>AND(#REF!,"AAAAAFeTqGI=")</f>
        <v>#REF!</v>
      </c>
      <c r="CV6" t="e">
        <f>AND(#REF!,"AAAAAFeTqGM=")</f>
        <v>#REF!</v>
      </c>
      <c r="CW6" t="e">
        <f>AND(#REF!,"AAAAAFeTqGQ=")</f>
        <v>#REF!</v>
      </c>
      <c r="CX6" t="e">
        <f>IF(#REF!,"AAAAAFeTqGU=",0)</f>
        <v>#REF!</v>
      </c>
      <c r="CY6" t="e">
        <f>AND(#REF!,"AAAAAFeTqGY=")</f>
        <v>#REF!</v>
      </c>
      <c r="CZ6" t="e">
        <f>AND(#REF!,"AAAAAFeTqGc=")</f>
        <v>#REF!</v>
      </c>
      <c r="DA6" t="e">
        <f>AND(#REF!,"AAAAAFeTqGg=")</f>
        <v>#REF!</v>
      </c>
      <c r="DB6" t="e">
        <f>AND(#REF!,"AAAAAFeTqGk=")</f>
        <v>#REF!</v>
      </c>
      <c r="DC6" t="e">
        <f>AND(#REF!,"AAAAAFeTqGo=")</f>
        <v>#REF!</v>
      </c>
      <c r="DD6" t="e">
        <f>AND(#REF!,"AAAAAFeTqGs=")</f>
        <v>#REF!</v>
      </c>
      <c r="DE6" t="e">
        <f>AND(#REF!,"AAAAAFeTqGw=")</f>
        <v>#REF!</v>
      </c>
      <c r="DF6" t="e">
        <f>AND(#REF!,"AAAAAFeTqG0=")</f>
        <v>#REF!</v>
      </c>
      <c r="DG6" t="e">
        <f>AND(#REF!,"AAAAAFeTqG4=")</f>
        <v>#REF!</v>
      </c>
      <c r="DH6" t="e">
        <f>AND(#REF!,"AAAAAFeTqG8=")</f>
        <v>#REF!</v>
      </c>
      <c r="DI6" t="e">
        <f>AND(#REF!,"AAAAAFeTqHA=")</f>
        <v>#REF!</v>
      </c>
      <c r="DJ6" t="e">
        <f>AND(#REF!,"AAAAAFeTqHE=")</f>
        <v>#REF!</v>
      </c>
      <c r="DK6" t="e">
        <f>IF(#REF!,"AAAAAFeTqHI=",0)</f>
        <v>#REF!</v>
      </c>
      <c r="DL6" t="e">
        <f>AND(#REF!,"AAAAAFeTqHM=")</f>
        <v>#REF!</v>
      </c>
      <c r="DM6" t="e">
        <f>AND(#REF!,"AAAAAFeTqHQ=")</f>
        <v>#REF!</v>
      </c>
      <c r="DN6" t="e">
        <f>AND(#REF!,"AAAAAFeTqHU=")</f>
        <v>#REF!</v>
      </c>
      <c r="DO6" t="e">
        <f>AND(#REF!,"AAAAAFeTqHY=")</f>
        <v>#REF!</v>
      </c>
      <c r="DP6" t="e">
        <f>AND(#REF!,"AAAAAFeTqHc=")</f>
        <v>#REF!</v>
      </c>
      <c r="DQ6" t="e">
        <f>AND(#REF!,"AAAAAFeTqHg=")</f>
        <v>#REF!</v>
      </c>
      <c r="DR6" t="e">
        <f>AND(#REF!,"AAAAAFeTqHk=")</f>
        <v>#REF!</v>
      </c>
      <c r="DS6" t="e">
        <f>AND(#REF!,"AAAAAFeTqHo=")</f>
        <v>#REF!</v>
      </c>
      <c r="DT6" t="e">
        <f>AND(#REF!,"AAAAAFeTqHs=")</f>
        <v>#REF!</v>
      </c>
      <c r="DU6" t="e">
        <f>AND(#REF!,"AAAAAFeTqHw=")</f>
        <v>#REF!</v>
      </c>
      <c r="DV6" t="e">
        <f>AND(#REF!,"AAAAAFeTqH0=")</f>
        <v>#REF!</v>
      </c>
      <c r="DW6" t="e">
        <f>AND(#REF!,"AAAAAFeTqH4=")</f>
        <v>#REF!</v>
      </c>
      <c r="DX6" t="e">
        <f>IF(#REF!,"AAAAAFeTqH8=",0)</f>
        <v>#REF!</v>
      </c>
      <c r="DY6" t="e">
        <f>AND(#REF!,"AAAAAFeTqIA=")</f>
        <v>#REF!</v>
      </c>
      <c r="DZ6" t="e">
        <f>AND(#REF!,"AAAAAFeTqIE=")</f>
        <v>#REF!</v>
      </c>
      <c r="EA6" t="e">
        <f>AND(#REF!,"AAAAAFeTqII=")</f>
        <v>#REF!</v>
      </c>
      <c r="EB6" t="e">
        <f>AND(#REF!,"AAAAAFeTqIM=")</f>
        <v>#REF!</v>
      </c>
      <c r="EC6" t="e">
        <f>AND(#REF!,"AAAAAFeTqIQ=")</f>
        <v>#REF!</v>
      </c>
      <c r="ED6" t="e">
        <f>AND(#REF!,"AAAAAFeTqIU=")</f>
        <v>#REF!</v>
      </c>
      <c r="EE6" t="e">
        <f>AND(#REF!,"AAAAAFeTqIY=")</f>
        <v>#REF!</v>
      </c>
      <c r="EF6" t="e">
        <f>AND(#REF!,"AAAAAFeTqIc=")</f>
        <v>#REF!</v>
      </c>
      <c r="EG6" t="e">
        <f>AND(#REF!,"AAAAAFeTqIg=")</f>
        <v>#REF!</v>
      </c>
      <c r="EH6" t="e">
        <f>AND(#REF!,"AAAAAFeTqIk=")</f>
        <v>#REF!</v>
      </c>
      <c r="EI6" t="e">
        <f>AND(#REF!,"AAAAAFeTqIo=")</f>
        <v>#REF!</v>
      </c>
      <c r="EJ6" t="e">
        <f>AND(#REF!,"AAAAAFeTqIs=")</f>
        <v>#REF!</v>
      </c>
      <c r="EK6" t="e">
        <f>IF(#REF!,"AAAAAFeTqIw=",0)</f>
        <v>#REF!</v>
      </c>
      <c r="EL6" t="e">
        <f>AND(#REF!,"AAAAAFeTqI0=")</f>
        <v>#REF!</v>
      </c>
      <c r="EM6" t="e">
        <f>AND(#REF!,"AAAAAFeTqI4=")</f>
        <v>#REF!</v>
      </c>
      <c r="EN6" t="e">
        <f>AND(#REF!,"AAAAAFeTqI8=")</f>
        <v>#REF!</v>
      </c>
      <c r="EO6" t="e">
        <f>AND(#REF!,"AAAAAFeTqJA=")</f>
        <v>#REF!</v>
      </c>
      <c r="EP6" t="e">
        <f>AND(#REF!,"AAAAAFeTqJE=")</f>
        <v>#REF!</v>
      </c>
      <c r="EQ6" t="e">
        <f>AND(#REF!,"AAAAAFeTqJI=")</f>
        <v>#REF!</v>
      </c>
      <c r="ER6" t="e">
        <f>AND(#REF!,"AAAAAFeTqJM=")</f>
        <v>#REF!</v>
      </c>
      <c r="ES6" t="e">
        <f>AND(#REF!,"AAAAAFeTqJQ=")</f>
        <v>#REF!</v>
      </c>
      <c r="ET6" t="e">
        <f>AND(#REF!,"AAAAAFeTqJU=")</f>
        <v>#REF!</v>
      </c>
      <c r="EU6" t="e">
        <f>AND(#REF!,"AAAAAFeTqJY=")</f>
        <v>#REF!</v>
      </c>
      <c r="EV6" t="e">
        <f>AND(#REF!,"AAAAAFeTqJc=")</f>
        <v>#REF!</v>
      </c>
      <c r="EW6" t="e">
        <f>AND(#REF!,"AAAAAFeTqJg=")</f>
        <v>#REF!</v>
      </c>
      <c r="EX6" t="e">
        <f>IF(#REF!,"AAAAAFeTqJk=",0)</f>
        <v>#REF!</v>
      </c>
      <c r="EY6" t="e">
        <f>AND(#REF!,"AAAAAFeTqJo=")</f>
        <v>#REF!</v>
      </c>
      <c r="EZ6" t="e">
        <f>AND(#REF!,"AAAAAFeTqJs=")</f>
        <v>#REF!</v>
      </c>
      <c r="FA6" t="e">
        <f>AND(#REF!,"AAAAAFeTqJw=")</f>
        <v>#REF!</v>
      </c>
      <c r="FB6" t="e">
        <f>AND(#REF!,"AAAAAFeTqJ0=")</f>
        <v>#REF!</v>
      </c>
      <c r="FC6" t="e">
        <f>AND(#REF!,"AAAAAFeTqJ4=")</f>
        <v>#REF!</v>
      </c>
      <c r="FD6" t="e">
        <f>AND(#REF!,"AAAAAFeTqJ8=")</f>
        <v>#REF!</v>
      </c>
      <c r="FE6" t="e">
        <f>AND(#REF!,"AAAAAFeTqKA=")</f>
        <v>#REF!</v>
      </c>
      <c r="FF6" t="e">
        <f>AND(#REF!,"AAAAAFeTqKE=")</f>
        <v>#REF!</v>
      </c>
      <c r="FG6" t="e">
        <f>AND(#REF!,"AAAAAFeTqKI=")</f>
        <v>#REF!</v>
      </c>
      <c r="FH6" t="e">
        <f>AND(#REF!,"AAAAAFeTqKM=")</f>
        <v>#REF!</v>
      </c>
      <c r="FI6" t="e">
        <f>AND(#REF!,"AAAAAFeTqKQ=")</f>
        <v>#REF!</v>
      </c>
      <c r="FJ6" t="e">
        <f>AND(#REF!,"AAAAAFeTqKU=")</f>
        <v>#REF!</v>
      </c>
      <c r="FK6" t="e">
        <f>IF(#REF!,"AAAAAFeTqKY=",0)</f>
        <v>#REF!</v>
      </c>
      <c r="FL6" t="e">
        <f>AND(#REF!,"AAAAAFeTqKc=")</f>
        <v>#REF!</v>
      </c>
      <c r="FM6" t="e">
        <f>AND(#REF!,"AAAAAFeTqKg=")</f>
        <v>#REF!</v>
      </c>
      <c r="FN6" t="e">
        <f>AND(#REF!,"AAAAAFeTqKk=")</f>
        <v>#REF!</v>
      </c>
      <c r="FO6" t="e">
        <f>AND(#REF!,"AAAAAFeTqKo=")</f>
        <v>#REF!</v>
      </c>
      <c r="FP6" t="e">
        <f>AND(#REF!,"AAAAAFeTqKs=")</f>
        <v>#REF!</v>
      </c>
      <c r="FQ6" t="e">
        <f>AND(#REF!,"AAAAAFeTqKw=")</f>
        <v>#REF!</v>
      </c>
      <c r="FR6" t="e">
        <f>AND(#REF!,"AAAAAFeTqK0=")</f>
        <v>#REF!</v>
      </c>
      <c r="FS6" t="e">
        <f>AND(#REF!,"AAAAAFeTqK4=")</f>
        <v>#REF!</v>
      </c>
      <c r="FT6" t="e">
        <f>AND(#REF!,"AAAAAFeTqK8=")</f>
        <v>#REF!</v>
      </c>
      <c r="FU6" t="e">
        <f>AND(#REF!,"AAAAAFeTqLA=")</f>
        <v>#REF!</v>
      </c>
      <c r="FV6" t="e">
        <f>AND(#REF!,"AAAAAFeTqLE=")</f>
        <v>#REF!</v>
      </c>
      <c r="FW6" t="e">
        <f>AND(#REF!,"AAAAAFeTqLI=")</f>
        <v>#REF!</v>
      </c>
      <c r="FX6" t="e">
        <f>IF(#REF!,"AAAAAFeTqLM=",0)</f>
        <v>#REF!</v>
      </c>
      <c r="FY6" t="e">
        <f>AND(#REF!,"AAAAAFeTqLQ=")</f>
        <v>#REF!</v>
      </c>
      <c r="FZ6" t="e">
        <f>AND(#REF!,"AAAAAFeTqLU=")</f>
        <v>#REF!</v>
      </c>
      <c r="GA6" t="e">
        <f>AND(#REF!,"AAAAAFeTqLY=")</f>
        <v>#REF!</v>
      </c>
      <c r="GB6" t="e">
        <f>AND(#REF!,"AAAAAFeTqLc=")</f>
        <v>#REF!</v>
      </c>
      <c r="GC6" t="e">
        <f>AND(#REF!,"AAAAAFeTqLg=")</f>
        <v>#REF!</v>
      </c>
      <c r="GD6" t="e">
        <f>AND(#REF!,"AAAAAFeTqLk=")</f>
        <v>#REF!</v>
      </c>
      <c r="GE6" t="e">
        <f>AND(#REF!,"AAAAAFeTqLo=")</f>
        <v>#REF!</v>
      </c>
      <c r="GF6" t="e">
        <f>AND(#REF!,"AAAAAFeTqLs=")</f>
        <v>#REF!</v>
      </c>
      <c r="GG6" t="e">
        <f>AND(#REF!,"AAAAAFeTqLw=")</f>
        <v>#REF!</v>
      </c>
      <c r="GH6" t="e">
        <f>AND(#REF!,"AAAAAFeTqL0=")</f>
        <v>#REF!</v>
      </c>
      <c r="GI6" t="e">
        <f>AND(#REF!,"AAAAAFeTqL4=")</f>
        <v>#REF!</v>
      </c>
      <c r="GJ6" t="e">
        <f>AND(#REF!,"AAAAAFeTqL8=")</f>
        <v>#REF!</v>
      </c>
      <c r="GK6" t="e">
        <f>IF(#REF!,"AAAAAFeTqMA=",0)</f>
        <v>#REF!</v>
      </c>
      <c r="GL6" t="e">
        <f>AND(#REF!,"AAAAAFeTqME=")</f>
        <v>#REF!</v>
      </c>
      <c r="GM6" t="e">
        <f>AND(#REF!,"AAAAAFeTqMI=")</f>
        <v>#REF!</v>
      </c>
      <c r="GN6" t="e">
        <f>AND(#REF!,"AAAAAFeTqMM=")</f>
        <v>#REF!</v>
      </c>
      <c r="GO6" t="e">
        <f>AND(#REF!,"AAAAAFeTqMQ=")</f>
        <v>#REF!</v>
      </c>
      <c r="GP6" t="e">
        <f>AND(#REF!,"AAAAAFeTqMU=")</f>
        <v>#REF!</v>
      </c>
      <c r="GQ6" t="e">
        <f>AND(#REF!,"AAAAAFeTqMY=")</f>
        <v>#REF!</v>
      </c>
      <c r="GR6" t="e">
        <f>AND(#REF!,"AAAAAFeTqMc=")</f>
        <v>#REF!</v>
      </c>
      <c r="GS6" t="e">
        <f>AND(#REF!,"AAAAAFeTqMg=")</f>
        <v>#REF!</v>
      </c>
      <c r="GT6" t="e">
        <f>AND(#REF!,"AAAAAFeTqMk=")</f>
        <v>#REF!</v>
      </c>
      <c r="GU6" t="e">
        <f>AND(#REF!,"AAAAAFeTqMo=")</f>
        <v>#REF!</v>
      </c>
      <c r="GV6" t="e">
        <f>AND(#REF!,"AAAAAFeTqMs=")</f>
        <v>#REF!</v>
      </c>
      <c r="GW6" t="e">
        <f>AND(#REF!,"AAAAAFeTqMw=")</f>
        <v>#REF!</v>
      </c>
      <c r="GX6" t="e">
        <f>IF(#REF!,"AAAAAFeTqM0=",0)</f>
        <v>#REF!</v>
      </c>
      <c r="GY6" t="e">
        <f>AND(#REF!,"AAAAAFeTqM4=")</f>
        <v>#REF!</v>
      </c>
      <c r="GZ6" t="e">
        <f>AND(#REF!,"AAAAAFeTqM8=")</f>
        <v>#REF!</v>
      </c>
      <c r="HA6" t="e">
        <f>AND(#REF!,"AAAAAFeTqNA=")</f>
        <v>#REF!</v>
      </c>
      <c r="HB6" t="e">
        <f>AND(#REF!,"AAAAAFeTqNE=")</f>
        <v>#REF!</v>
      </c>
      <c r="HC6" t="e">
        <f>AND(#REF!,"AAAAAFeTqNI=")</f>
        <v>#REF!</v>
      </c>
      <c r="HD6" t="e">
        <f>AND(#REF!,"AAAAAFeTqNM=")</f>
        <v>#REF!</v>
      </c>
      <c r="HE6" t="e">
        <f>AND(#REF!,"AAAAAFeTqNQ=")</f>
        <v>#REF!</v>
      </c>
      <c r="HF6" t="e">
        <f>AND(#REF!,"AAAAAFeTqNU=")</f>
        <v>#REF!</v>
      </c>
      <c r="HG6" t="e">
        <f>AND(#REF!,"AAAAAFeTqNY=")</f>
        <v>#REF!</v>
      </c>
      <c r="HH6" t="e">
        <f>AND(#REF!,"AAAAAFeTqNc=")</f>
        <v>#REF!</v>
      </c>
      <c r="HI6" t="e">
        <f>AND(#REF!,"AAAAAFeTqNg=")</f>
        <v>#REF!</v>
      </c>
      <c r="HJ6" t="e">
        <f>AND(#REF!,"AAAAAFeTqNk=")</f>
        <v>#REF!</v>
      </c>
      <c r="HK6" t="e">
        <f>IF(#REF!,"AAAAAFeTqNo=",0)</f>
        <v>#REF!</v>
      </c>
      <c r="HL6" t="e">
        <f>AND(#REF!,"AAAAAFeTqNs=")</f>
        <v>#REF!</v>
      </c>
      <c r="HM6" t="e">
        <f>AND(#REF!,"AAAAAFeTqNw=")</f>
        <v>#REF!</v>
      </c>
      <c r="HN6" t="e">
        <f>AND(#REF!,"AAAAAFeTqN0=")</f>
        <v>#REF!</v>
      </c>
      <c r="HO6" t="e">
        <f>AND(#REF!,"AAAAAFeTqN4=")</f>
        <v>#REF!</v>
      </c>
      <c r="HP6" t="e">
        <f>AND(#REF!,"AAAAAFeTqN8=")</f>
        <v>#REF!</v>
      </c>
      <c r="HQ6" t="e">
        <f>AND(#REF!,"AAAAAFeTqOA=")</f>
        <v>#REF!</v>
      </c>
      <c r="HR6" t="e">
        <f>AND(#REF!,"AAAAAFeTqOE=")</f>
        <v>#REF!</v>
      </c>
      <c r="HS6" t="e">
        <f>AND(#REF!,"AAAAAFeTqOI=")</f>
        <v>#REF!</v>
      </c>
      <c r="HT6" t="e">
        <f>AND(#REF!,"AAAAAFeTqOM=")</f>
        <v>#REF!</v>
      </c>
      <c r="HU6" t="e">
        <f>AND(#REF!,"AAAAAFeTqOQ=")</f>
        <v>#REF!</v>
      </c>
      <c r="HV6" t="e">
        <f>AND(#REF!,"AAAAAFeTqOU=")</f>
        <v>#REF!</v>
      </c>
      <c r="HW6" t="e">
        <f>AND(#REF!,"AAAAAFeTqOY=")</f>
        <v>#REF!</v>
      </c>
      <c r="HX6" t="e">
        <f>IF(#REF!,"AAAAAFeTqOc=",0)</f>
        <v>#REF!</v>
      </c>
      <c r="HY6" t="e">
        <f>AND(#REF!,"AAAAAFeTqOg=")</f>
        <v>#REF!</v>
      </c>
      <c r="HZ6" t="e">
        <f>AND(#REF!,"AAAAAFeTqOk=")</f>
        <v>#REF!</v>
      </c>
      <c r="IA6" t="e">
        <f>AND(#REF!,"AAAAAFeTqOo=")</f>
        <v>#REF!</v>
      </c>
      <c r="IB6" t="e">
        <f>AND(#REF!,"AAAAAFeTqOs=")</f>
        <v>#REF!</v>
      </c>
      <c r="IC6" t="e">
        <f>AND(#REF!,"AAAAAFeTqOw=")</f>
        <v>#REF!</v>
      </c>
      <c r="ID6" t="e">
        <f>AND(#REF!,"AAAAAFeTqO0=")</f>
        <v>#REF!</v>
      </c>
      <c r="IE6" t="e">
        <f>AND(#REF!,"AAAAAFeTqO4=")</f>
        <v>#REF!</v>
      </c>
      <c r="IF6" t="e">
        <f>AND(#REF!,"AAAAAFeTqO8=")</f>
        <v>#REF!</v>
      </c>
      <c r="IG6" t="e">
        <f>AND(#REF!,"AAAAAFeTqPA=")</f>
        <v>#REF!</v>
      </c>
      <c r="IH6" t="e">
        <f>AND(#REF!,"AAAAAFeTqPE=")</f>
        <v>#REF!</v>
      </c>
      <c r="II6" t="e">
        <f>AND(#REF!,"AAAAAFeTqPI=")</f>
        <v>#REF!</v>
      </c>
      <c r="IJ6" t="e">
        <f>AND(#REF!,"AAAAAFeTqPM=")</f>
        <v>#REF!</v>
      </c>
      <c r="IK6" t="e">
        <f>IF(#REF!,"AAAAAFeTqPQ=",0)</f>
        <v>#REF!</v>
      </c>
      <c r="IL6" t="e">
        <f>AND(#REF!,"AAAAAFeTqPU=")</f>
        <v>#REF!</v>
      </c>
      <c r="IM6" t="e">
        <f>AND(#REF!,"AAAAAFeTqPY=")</f>
        <v>#REF!</v>
      </c>
      <c r="IN6" t="e">
        <f>AND(#REF!,"AAAAAFeTqPc=")</f>
        <v>#REF!</v>
      </c>
      <c r="IO6" t="e">
        <f>AND(#REF!,"AAAAAFeTqPg=")</f>
        <v>#REF!</v>
      </c>
      <c r="IP6" t="e">
        <f>AND(#REF!,"AAAAAFeTqPk=")</f>
        <v>#REF!</v>
      </c>
      <c r="IQ6" t="e">
        <f>AND(#REF!,"AAAAAFeTqPo=")</f>
        <v>#REF!</v>
      </c>
      <c r="IR6" t="e">
        <f>AND(#REF!,"AAAAAFeTqPs=")</f>
        <v>#REF!</v>
      </c>
      <c r="IS6" t="e">
        <f>AND(#REF!,"AAAAAFeTqPw=")</f>
        <v>#REF!</v>
      </c>
      <c r="IT6" t="e">
        <f>AND(#REF!,"AAAAAFeTqP0=")</f>
        <v>#REF!</v>
      </c>
      <c r="IU6" t="e">
        <f>AND(#REF!,"AAAAAFeTqP4=")</f>
        <v>#REF!</v>
      </c>
      <c r="IV6" t="e">
        <f>AND(#REF!,"AAAAAFeTqP8=")</f>
        <v>#REF!</v>
      </c>
    </row>
    <row r="7" spans="1:256">
      <c r="A7" t="e">
        <f>AND(#REF!,"AAAAAH6/3gA=")</f>
        <v>#REF!</v>
      </c>
      <c r="B7" t="e">
        <f>IF(#REF!,"AAAAAH6/3gE=",0)</f>
        <v>#REF!</v>
      </c>
      <c r="C7" t="e">
        <f>AND(#REF!,"AAAAAH6/3gI=")</f>
        <v>#REF!</v>
      </c>
      <c r="D7" t="e">
        <f>AND(#REF!,"AAAAAH6/3gM=")</f>
        <v>#REF!</v>
      </c>
      <c r="E7" t="e">
        <f>AND(#REF!,"AAAAAH6/3gQ=")</f>
        <v>#REF!</v>
      </c>
      <c r="F7" t="e">
        <f>AND(#REF!,"AAAAAH6/3gU=")</f>
        <v>#REF!</v>
      </c>
      <c r="G7" t="e">
        <f>AND(#REF!,"AAAAAH6/3gY=")</f>
        <v>#REF!</v>
      </c>
      <c r="H7" t="e">
        <f>AND(#REF!,"AAAAAH6/3gc=")</f>
        <v>#REF!</v>
      </c>
      <c r="I7" t="e">
        <f>AND(#REF!,"AAAAAH6/3gg=")</f>
        <v>#REF!</v>
      </c>
      <c r="J7" t="e">
        <f>AND(#REF!,"AAAAAH6/3gk=")</f>
        <v>#REF!</v>
      </c>
      <c r="K7" t="e">
        <f>AND(#REF!,"AAAAAH6/3go=")</f>
        <v>#REF!</v>
      </c>
      <c r="L7" t="e">
        <f>AND(#REF!,"AAAAAH6/3gs=")</f>
        <v>#REF!</v>
      </c>
      <c r="M7" t="e">
        <f>AND(#REF!,"AAAAAH6/3gw=")</f>
        <v>#REF!</v>
      </c>
      <c r="N7" t="e">
        <f>AND(#REF!,"AAAAAH6/3g0=")</f>
        <v>#REF!</v>
      </c>
      <c r="O7" t="e">
        <f>IF(#REF!,"AAAAAH6/3g4=",0)</f>
        <v>#REF!</v>
      </c>
      <c r="P7" t="e">
        <f>AND(#REF!,"AAAAAH6/3g8=")</f>
        <v>#REF!</v>
      </c>
      <c r="Q7" t="e">
        <f>AND(#REF!,"AAAAAH6/3hA=")</f>
        <v>#REF!</v>
      </c>
      <c r="R7" t="e">
        <f>AND(#REF!,"AAAAAH6/3hE=")</f>
        <v>#REF!</v>
      </c>
      <c r="S7" t="e">
        <f>AND(#REF!,"AAAAAH6/3hI=")</f>
        <v>#REF!</v>
      </c>
      <c r="T7" t="e">
        <f>AND(#REF!,"AAAAAH6/3hM=")</f>
        <v>#REF!</v>
      </c>
      <c r="U7" t="e">
        <f>AND(#REF!,"AAAAAH6/3hQ=")</f>
        <v>#REF!</v>
      </c>
      <c r="V7" t="e">
        <f>AND(#REF!,"AAAAAH6/3hU=")</f>
        <v>#REF!</v>
      </c>
      <c r="W7" t="e">
        <f>AND(#REF!,"AAAAAH6/3hY=")</f>
        <v>#REF!</v>
      </c>
      <c r="X7" t="e">
        <f>AND(#REF!,"AAAAAH6/3hc=")</f>
        <v>#REF!</v>
      </c>
      <c r="Y7" t="e">
        <f>AND(#REF!,"AAAAAH6/3hg=")</f>
        <v>#REF!</v>
      </c>
      <c r="Z7" t="e">
        <f>AND(#REF!,"AAAAAH6/3hk=")</f>
        <v>#REF!</v>
      </c>
      <c r="AA7" t="e">
        <f>AND(#REF!,"AAAAAH6/3ho=")</f>
        <v>#REF!</v>
      </c>
      <c r="AB7" t="e">
        <f>IF(#REF!,"AAAAAH6/3hs=",0)</f>
        <v>#REF!</v>
      </c>
      <c r="AC7" t="e">
        <f>AND(#REF!,"AAAAAH6/3hw=")</f>
        <v>#REF!</v>
      </c>
      <c r="AD7" t="e">
        <f>AND(#REF!,"AAAAAH6/3h0=")</f>
        <v>#REF!</v>
      </c>
      <c r="AE7" t="e">
        <f>AND(#REF!,"AAAAAH6/3h4=")</f>
        <v>#REF!</v>
      </c>
      <c r="AF7" t="e">
        <f>AND(#REF!,"AAAAAH6/3h8=")</f>
        <v>#REF!</v>
      </c>
      <c r="AG7" t="e">
        <f>AND(#REF!,"AAAAAH6/3iA=")</f>
        <v>#REF!</v>
      </c>
      <c r="AH7" t="e">
        <f>AND(#REF!,"AAAAAH6/3iE=")</f>
        <v>#REF!</v>
      </c>
      <c r="AI7" t="e">
        <f>AND(#REF!,"AAAAAH6/3iI=")</f>
        <v>#REF!</v>
      </c>
      <c r="AJ7" t="e">
        <f>AND(#REF!,"AAAAAH6/3iM=")</f>
        <v>#REF!</v>
      </c>
      <c r="AK7" t="e">
        <f>AND(#REF!,"AAAAAH6/3iQ=")</f>
        <v>#REF!</v>
      </c>
      <c r="AL7" t="e">
        <f>AND(#REF!,"AAAAAH6/3iU=")</f>
        <v>#REF!</v>
      </c>
      <c r="AM7" t="e">
        <f>AND(#REF!,"AAAAAH6/3iY=")</f>
        <v>#REF!</v>
      </c>
      <c r="AN7" t="e">
        <f>AND(#REF!,"AAAAAH6/3ic=")</f>
        <v>#REF!</v>
      </c>
      <c r="AO7" t="e">
        <f>IF(#REF!,"AAAAAH6/3ig=",0)</f>
        <v>#REF!</v>
      </c>
      <c r="AP7" t="e">
        <f>AND(#REF!,"AAAAAH6/3ik=")</f>
        <v>#REF!</v>
      </c>
      <c r="AQ7" t="e">
        <f>AND(#REF!,"AAAAAH6/3io=")</f>
        <v>#REF!</v>
      </c>
      <c r="AR7" t="e">
        <f>AND(#REF!,"AAAAAH6/3is=")</f>
        <v>#REF!</v>
      </c>
      <c r="AS7" t="e">
        <f>AND(#REF!,"AAAAAH6/3iw=")</f>
        <v>#REF!</v>
      </c>
      <c r="AT7" t="e">
        <f>AND(#REF!,"AAAAAH6/3i0=")</f>
        <v>#REF!</v>
      </c>
      <c r="AU7" t="e">
        <f>AND(#REF!,"AAAAAH6/3i4=")</f>
        <v>#REF!</v>
      </c>
      <c r="AV7" t="e">
        <f>AND(#REF!,"AAAAAH6/3i8=")</f>
        <v>#REF!</v>
      </c>
      <c r="AW7" t="e">
        <f>AND(#REF!,"AAAAAH6/3jA=")</f>
        <v>#REF!</v>
      </c>
      <c r="AX7" t="e">
        <f>AND(#REF!,"AAAAAH6/3jE=")</f>
        <v>#REF!</v>
      </c>
      <c r="AY7" t="e">
        <f>AND(#REF!,"AAAAAH6/3jI=")</f>
        <v>#REF!</v>
      </c>
      <c r="AZ7" t="e">
        <f>AND(#REF!,"AAAAAH6/3jM=")</f>
        <v>#REF!</v>
      </c>
      <c r="BA7" t="e">
        <f>AND(#REF!,"AAAAAH6/3jQ=")</f>
        <v>#REF!</v>
      </c>
      <c r="BB7" t="e">
        <f>IF(#REF!,"AAAAAH6/3jU=",0)</f>
        <v>#REF!</v>
      </c>
      <c r="BC7" t="e">
        <f>AND(#REF!,"AAAAAH6/3jY=")</f>
        <v>#REF!</v>
      </c>
      <c r="BD7" t="e">
        <f>AND(#REF!,"AAAAAH6/3jc=")</f>
        <v>#REF!</v>
      </c>
      <c r="BE7" t="e">
        <f>AND(#REF!,"AAAAAH6/3jg=")</f>
        <v>#REF!</v>
      </c>
      <c r="BF7" t="e">
        <f>AND(#REF!,"AAAAAH6/3jk=")</f>
        <v>#REF!</v>
      </c>
      <c r="BG7" t="e">
        <f>AND(#REF!,"AAAAAH6/3jo=")</f>
        <v>#REF!</v>
      </c>
      <c r="BH7" t="e">
        <f>AND(#REF!,"AAAAAH6/3js=")</f>
        <v>#REF!</v>
      </c>
      <c r="BI7" t="e">
        <f>AND(#REF!,"AAAAAH6/3jw=")</f>
        <v>#REF!</v>
      </c>
      <c r="BJ7" t="e">
        <f>AND(#REF!,"AAAAAH6/3j0=")</f>
        <v>#REF!</v>
      </c>
      <c r="BK7" t="e">
        <f>AND(#REF!,"AAAAAH6/3j4=")</f>
        <v>#REF!</v>
      </c>
      <c r="BL7" t="e">
        <f>AND(#REF!,"AAAAAH6/3j8=")</f>
        <v>#REF!</v>
      </c>
      <c r="BM7" t="e">
        <f>AND(#REF!,"AAAAAH6/3kA=")</f>
        <v>#REF!</v>
      </c>
      <c r="BN7" t="e">
        <f>AND(#REF!,"AAAAAH6/3kE=")</f>
        <v>#REF!</v>
      </c>
      <c r="BO7" t="e">
        <f>IF(#REF!,"AAAAAH6/3kI=",0)</f>
        <v>#REF!</v>
      </c>
      <c r="BP7" t="e">
        <f>AND(#REF!,"AAAAAH6/3kM=")</f>
        <v>#REF!</v>
      </c>
      <c r="BQ7" t="e">
        <f>AND(#REF!,"AAAAAH6/3kQ=")</f>
        <v>#REF!</v>
      </c>
      <c r="BR7" t="e">
        <f>AND(#REF!,"AAAAAH6/3kU=")</f>
        <v>#REF!</v>
      </c>
      <c r="BS7" t="e">
        <f>AND(#REF!,"AAAAAH6/3kY=")</f>
        <v>#REF!</v>
      </c>
      <c r="BT7" t="e">
        <f>AND(#REF!,"AAAAAH6/3kc=")</f>
        <v>#REF!</v>
      </c>
      <c r="BU7" t="e">
        <f>AND(#REF!,"AAAAAH6/3kg=")</f>
        <v>#REF!</v>
      </c>
      <c r="BV7" t="e">
        <f>AND(#REF!,"AAAAAH6/3kk=")</f>
        <v>#REF!</v>
      </c>
      <c r="BW7" t="e">
        <f>AND(#REF!,"AAAAAH6/3ko=")</f>
        <v>#REF!</v>
      </c>
      <c r="BX7" t="e">
        <f>AND(#REF!,"AAAAAH6/3ks=")</f>
        <v>#REF!</v>
      </c>
      <c r="BY7" t="e">
        <f>AND(#REF!,"AAAAAH6/3kw=")</f>
        <v>#REF!</v>
      </c>
      <c r="BZ7" t="e">
        <f>AND(#REF!,"AAAAAH6/3k0=")</f>
        <v>#REF!</v>
      </c>
      <c r="CA7" t="e">
        <f>AND(#REF!,"AAAAAH6/3k4=")</f>
        <v>#REF!</v>
      </c>
      <c r="CB7" t="e">
        <f>IF(#REF!,"AAAAAH6/3k8=",0)</f>
        <v>#REF!</v>
      </c>
      <c r="CC7" t="e">
        <f>AND(#REF!,"AAAAAH6/3lA=")</f>
        <v>#REF!</v>
      </c>
      <c r="CD7" t="e">
        <f>AND(#REF!,"AAAAAH6/3lE=")</f>
        <v>#REF!</v>
      </c>
      <c r="CE7" t="e">
        <f>AND(#REF!,"AAAAAH6/3lI=")</f>
        <v>#REF!</v>
      </c>
      <c r="CF7" t="e">
        <f>AND(#REF!,"AAAAAH6/3lM=")</f>
        <v>#REF!</v>
      </c>
      <c r="CG7" t="e">
        <f>AND(#REF!,"AAAAAH6/3lQ=")</f>
        <v>#REF!</v>
      </c>
      <c r="CH7" t="e">
        <f>AND(#REF!,"AAAAAH6/3lU=")</f>
        <v>#REF!</v>
      </c>
      <c r="CI7" t="e">
        <f>AND(#REF!,"AAAAAH6/3lY=")</f>
        <v>#REF!</v>
      </c>
      <c r="CJ7" t="e">
        <f>AND(#REF!,"AAAAAH6/3lc=")</f>
        <v>#REF!</v>
      </c>
      <c r="CK7" t="e">
        <f>AND(#REF!,"AAAAAH6/3lg=")</f>
        <v>#REF!</v>
      </c>
      <c r="CL7" t="e">
        <f>AND(#REF!,"AAAAAH6/3lk=")</f>
        <v>#REF!</v>
      </c>
      <c r="CM7" t="e">
        <f>AND(#REF!,"AAAAAH6/3lo=")</f>
        <v>#REF!</v>
      </c>
      <c r="CN7" t="e">
        <f>AND(#REF!,"AAAAAH6/3ls=")</f>
        <v>#REF!</v>
      </c>
      <c r="CO7" t="e">
        <f>IF(#REF!,"AAAAAH6/3lw=",0)</f>
        <v>#REF!</v>
      </c>
      <c r="CP7" t="e">
        <f>AND(#REF!,"AAAAAH6/3l0=")</f>
        <v>#REF!</v>
      </c>
      <c r="CQ7" t="e">
        <f>AND(#REF!,"AAAAAH6/3l4=")</f>
        <v>#REF!</v>
      </c>
      <c r="CR7" t="e">
        <f>AND(#REF!,"AAAAAH6/3l8=")</f>
        <v>#REF!</v>
      </c>
      <c r="CS7" t="e">
        <f>AND(#REF!,"AAAAAH6/3mA=")</f>
        <v>#REF!</v>
      </c>
      <c r="CT7" t="e">
        <f>AND(#REF!,"AAAAAH6/3mE=")</f>
        <v>#REF!</v>
      </c>
      <c r="CU7" t="e">
        <f>AND(#REF!,"AAAAAH6/3mI=")</f>
        <v>#REF!</v>
      </c>
      <c r="CV7" t="e">
        <f>AND(#REF!,"AAAAAH6/3mM=")</f>
        <v>#REF!</v>
      </c>
      <c r="CW7" t="e">
        <f>AND(#REF!,"AAAAAH6/3mQ=")</f>
        <v>#REF!</v>
      </c>
      <c r="CX7" t="e">
        <f>AND(#REF!,"AAAAAH6/3mU=")</f>
        <v>#REF!</v>
      </c>
      <c r="CY7" t="e">
        <f>AND(#REF!,"AAAAAH6/3mY=")</f>
        <v>#REF!</v>
      </c>
      <c r="CZ7" t="e">
        <f>AND(#REF!,"AAAAAH6/3mc=")</f>
        <v>#REF!</v>
      </c>
      <c r="DA7" t="e">
        <f>AND(#REF!,"AAAAAH6/3mg=")</f>
        <v>#REF!</v>
      </c>
      <c r="DB7" t="e">
        <f>IF(#REF!,"AAAAAH6/3mk=",0)</f>
        <v>#REF!</v>
      </c>
      <c r="DC7" t="e">
        <f>AND(#REF!,"AAAAAH6/3mo=")</f>
        <v>#REF!</v>
      </c>
      <c r="DD7" t="e">
        <f>AND(#REF!,"AAAAAH6/3ms=")</f>
        <v>#REF!</v>
      </c>
      <c r="DE7" t="e">
        <f>AND(#REF!,"AAAAAH6/3mw=")</f>
        <v>#REF!</v>
      </c>
      <c r="DF7" t="e">
        <f>AND(#REF!,"AAAAAH6/3m0=")</f>
        <v>#REF!</v>
      </c>
      <c r="DG7" t="e">
        <f>AND(#REF!,"AAAAAH6/3m4=")</f>
        <v>#REF!</v>
      </c>
      <c r="DH7" t="e">
        <f>AND(#REF!,"AAAAAH6/3m8=")</f>
        <v>#REF!</v>
      </c>
      <c r="DI7" t="e">
        <f>AND(#REF!,"AAAAAH6/3nA=")</f>
        <v>#REF!</v>
      </c>
      <c r="DJ7" t="e">
        <f>AND(#REF!,"AAAAAH6/3nE=")</f>
        <v>#REF!</v>
      </c>
      <c r="DK7" t="e">
        <f>AND(#REF!,"AAAAAH6/3nI=")</f>
        <v>#REF!</v>
      </c>
      <c r="DL7" t="e">
        <f>AND(#REF!,"AAAAAH6/3nM=")</f>
        <v>#REF!</v>
      </c>
      <c r="DM7" t="e">
        <f>AND(#REF!,"AAAAAH6/3nQ=")</f>
        <v>#REF!</v>
      </c>
      <c r="DN7" t="e">
        <f>AND(#REF!,"AAAAAH6/3nU=")</f>
        <v>#REF!</v>
      </c>
      <c r="DO7" t="e">
        <f>IF(#REF!,"AAAAAH6/3nY=",0)</f>
        <v>#REF!</v>
      </c>
      <c r="DP7" t="e">
        <f>AND(#REF!,"AAAAAH6/3nc=")</f>
        <v>#REF!</v>
      </c>
      <c r="DQ7" t="e">
        <f>AND(#REF!,"AAAAAH6/3ng=")</f>
        <v>#REF!</v>
      </c>
      <c r="DR7" t="e">
        <f>AND(#REF!,"AAAAAH6/3nk=")</f>
        <v>#REF!</v>
      </c>
      <c r="DS7" t="e">
        <f>AND(#REF!,"AAAAAH6/3no=")</f>
        <v>#REF!</v>
      </c>
      <c r="DT7" t="e">
        <f>AND(#REF!,"AAAAAH6/3ns=")</f>
        <v>#REF!</v>
      </c>
      <c r="DU7" t="e">
        <f>AND(#REF!,"AAAAAH6/3nw=")</f>
        <v>#REF!</v>
      </c>
      <c r="DV7" t="e">
        <f>AND(#REF!,"AAAAAH6/3n0=")</f>
        <v>#REF!</v>
      </c>
      <c r="DW7" t="e">
        <f>AND(#REF!,"AAAAAH6/3n4=")</f>
        <v>#REF!</v>
      </c>
      <c r="DX7" t="e">
        <f>AND(#REF!,"AAAAAH6/3n8=")</f>
        <v>#REF!</v>
      </c>
      <c r="DY7" t="e">
        <f>AND(#REF!,"AAAAAH6/3oA=")</f>
        <v>#REF!</v>
      </c>
      <c r="DZ7" t="e">
        <f>AND(#REF!,"AAAAAH6/3oE=")</f>
        <v>#REF!</v>
      </c>
      <c r="EA7" t="e">
        <f>AND(#REF!,"AAAAAH6/3oI=")</f>
        <v>#REF!</v>
      </c>
      <c r="EB7" t="e">
        <f>IF(#REF!,"AAAAAH6/3oM=",0)</f>
        <v>#REF!</v>
      </c>
      <c r="EC7" t="e">
        <f>AND(#REF!,"AAAAAH6/3oQ=")</f>
        <v>#REF!</v>
      </c>
      <c r="ED7" t="e">
        <f>AND(#REF!,"AAAAAH6/3oU=")</f>
        <v>#REF!</v>
      </c>
      <c r="EE7" t="e">
        <f>AND(#REF!,"AAAAAH6/3oY=")</f>
        <v>#REF!</v>
      </c>
      <c r="EF7" t="e">
        <f>AND(#REF!,"AAAAAH6/3oc=")</f>
        <v>#REF!</v>
      </c>
      <c r="EG7" t="e">
        <f>AND(#REF!,"AAAAAH6/3og=")</f>
        <v>#REF!</v>
      </c>
      <c r="EH7" t="e">
        <f>AND(#REF!,"AAAAAH6/3ok=")</f>
        <v>#REF!</v>
      </c>
      <c r="EI7" t="e">
        <f>AND(#REF!,"AAAAAH6/3oo=")</f>
        <v>#REF!</v>
      </c>
      <c r="EJ7" t="e">
        <f>AND(#REF!,"AAAAAH6/3os=")</f>
        <v>#REF!</v>
      </c>
      <c r="EK7" t="e">
        <f>AND(#REF!,"AAAAAH6/3ow=")</f>
        <v>#REF!</v>
      </c>
      <c r="EL7" t="e">
        <f>AND(#REF!,"AAAAAH6/3o0=")</f>
        <v>#REF!</v>
      </c>
      <c r="EM7" t="e">
        <f>AND(#REF!,"AAAAAH6/3o4=")</f>
        <v>#REF!</v>
      </c>
      <c r="EN7" t="e">
        <f>AND(#REF!,"AAAAAH6/3o8=")</f>
        <v>#REF!</v>
      </c>
      <c r="EO7" t="e">
        <f>IF(#REF!,"AAAAAH6/3pA=",0)</f>
        <v>#REF!</v>
      </c>
      <c r="EP7" t="e">
        <f>AND(#REF!,"AAAAAH6/3pE=")</f>
        <v>#REF!</v>
      </c>
      <c r="EQ7" t="e">
        <f>AND(#REF!,"AAAAAH6/3pI=")</f>
        <v>#REF!</v>
      </c>
      <c r="ER7" t="e">
        <f>AND(#REF!,"AAAAAH6/3pM=")</f>
        <v>#REF!</v>
      </c>
      <c r="ES7" t="e">
        <f>AND(#REF!,"AAAAAH6/3pQ=")</f>
        <v>#REF!</v>
      </c>
      <c r="ET7" t="e">
        <f>AND(#REF!,"AAAAAH6/3pU=")</f>
        <v>#REF!</v>
      </c>
      <c r="EU7" t="e">
        <f>AND(#REF!,"AAAAAH6/3pY=")</f>
        <v>#REF!</v>
      </c>
      <c r="EV7" t="e">
        <f>AND(#REF!,"AAAAAH6/3pc=")</f>
        <v>#REF!</v>
      </c>
      <c r="EW7" t="e">
        <f>AND(#REF!,"AAAAAH6/3pg=")</f>
        <v>#REF!</v>
      </c>
      <c r="EX7" t="e">
        <f>AND(#REF!,"AAAAAH6/3pk=")</f>
        <v>#REF!</v>
      </c>
      <c r="EY7" t="e">
        <f>AND(#REF!,"AAAAAH6/3po=")</f>
        <v>#REF!</v>
      </c>
      <c r="EZ7" t="e">
        <f>AND(#REF!,"AAAAAH6/3ps=")</f>
        <v>#REF!</v>
      </c>
      <c r="FA7" t="e">
        <f>AND(#REF!,"AAAAAH6/3pw=")</f>
        <v>#REF!</v>
      </c>
      <c r="FB7" t="e">
        <f>IF(#REF!,"AAAAAH6/3p0=",0)</f>
        <v>#REF!</v>
      </c>
      <c r="FC7" t="e">
        <f>AND(#REF!,"AAAAAH6/3p4=")</f>
        <v>#REF!</v>
      </c>
      <c r="FD7" t="e">
        <f>AND(#REF!,"AAAAAH6/3p8=")</f>
        <v>#REF!</v>
      </c>
      <c r="FE7" t="e">
        <f>AND(#REF!,"AAAAAH6/3qA=")</f>
        <v>#REF!</v>
      </c>
      <c r="FF7" t="e">
        <f>AND(#REF!,"AAAAAH6/3qE=")</f>
        <v>#REF!</v>
      </c>
      <c r="FG7" t="e">
        <f>AND(#REF!,"AAAAAH6/3qI=")</f>
        <v>#REF!</v>
      </c>
      <c r="FH7" t="e">
        <f>AND(#REF!,"AAAAAH6/3qM=")</f>
        <v>#REF!</v>
      </c>
      <c r="FI7" t="e">
        <f>AND(#REF!,"AAAAAH6/3qQ=")</f>
        <v>#REF!</v>
      </c>
      <c r="FJ7" t="e">
        <f>AND(#REF!,"AAAAAH6/3qU=")</f>
        <v>#REF!</v>
      </c>
      <c r="FK7" t="e">
        <f>AND(#REF!,"AAAAAH6/3qY=")</f>
        <v>#REF!</v>
      </c>
      <c r="FL7" t="e">
        <f>AND(#REF!,"AAAAAH6/3qc=")</f>
        <v>#REF!</v>
      </c>
      <c r="FM7" t="e">
        <f>AND(#REF!,"AAAAAH6/3qg=")</f>
        <v>#REF!</v>
      </c>
      <c r="FN7" t="e">
        <f>AND(#REF!,"AAAAAH6/3qk=")</f>
        <v>#REF!</v>
      </c>
      <c r="FO7" t="e">
        <f>IF(#REF!,"AAAAAH6/3qo=",0)</f>
        <v>#REF!</v>
      </c>
      <c r="FP7" t="e">
        <f>AND(#REF!,"AAAAAH6/3qs=")</f>
        <v>#REF!</v>
      </c>
      <c r="FQ7" t="e">
        <f>AND(#REF!,"AAAAAH6/3qw=")</f>
        <v>#REF!</v>
      </c>
      <c r="FR7" t="e">
        <f>AND(#REF!,"AAAAAH6/3q0=")</f>
        <v>#REF!</v>
      </c>
      <c r="FS7" t="e">
        <f>AND(#REF!,"AAAAAH6/3q4=")</f>
        <v>#REF!</v>
      </c>
      <c r="FT7" t="e">
        <f>AND(#REF!,"AAAAAH6/3q8=")</f>
        <v>#REF!</v>
      </c>
      <c r="FU7" t="e">
        <f>AND(#REF!,"AAAAAH6/3rA=")</f>
        <v>#REF!</v>
      </c>
      <c r="FV7" t="e">
        <f>AND(#REF!,"AAAAAH6/3rE=")</f>
        <v>#REF!</v>
      </c>
      <c r="FW7" t="e">
        <f>AND(#REF!,"AAAAAH6/3rI=")</f>
        <v>#REF!</v>
      </c>
      <c r="FX7" t="e">
        <f>AND(#REF!,"AAAAAH6/3rM=")</f>
        <v>#REF!</v>
      </c>
      <c r="FY7" t="e">
        <f>AND(#REF!,"AAAAAH6/3rQ=")</f>
        <v>#REF!</v>
      </c>
      <c r="FZ7" t="e">
        <f>AND(#REF!,"AAAAAH6/3rU=")</f>
        <v>#REF!</v>
      </c>
      <c r="GA7" t="e">
        <f>AND(#REF!,"AAAAAH6/3rY=")</f>
        <v>#REF!</v>
      </c>
      <c r="GB7" t="e">
        <f>IF(#REF!,"AAAAAH6/3rc=",0)</f>
        <v>#REF!</v>
      </c>
      <c r="GC7" t="e">
        <f>AND(#REF!,"AAAAAH6/3rg=")</f>
        <v>#REF!</v>
      </c>
      <c r="GD7" t="e">
        <f>AND(#REF!,"AAAAAH6/3rk=")</f>
        <v>#REF!</v>
      </c>
      <c r="GE7" t="e">
        <f>AND(#REF!,"AAAAAH6/3ro=")</f>
        <v>#REF!</v>
      </c>
      <c r="GF7" t="e">
        <f>AND(#REF!,"AAAAAH6/3rs=")</f>
        <v>#REF!</v>
      </c>
      <c r="GG7" t="e">
        <f>AND(#REF!,"AAAAAH6/3rw=")</f>
        <v>#REF!</v>
      </c>
      <c r="GH7" t="e">
        <f>AND(#REF!,"AAAAAH6/3r0=")</f>
        <v>#REF!</v>
      </c>
      <c r="GI7" t="e">
        <f>AND(#REF!,"AAAAAH6/3r4=")</f>
        <v>#REF!</v>
      </c>
      <c r="GJ7" t="e">
        <f>AND(#REF!,"AAAAAH6/3r8=")</f>
        <v>#REF!</v>
      </c>
      <c r="GK7" t="e">
        <f>AND(#REF!,"AAAAAH6/3sA=")</f>
        <v>#REF!</v>
      </c>
      <c r="GL7" t="e">
        <f>AND(#REF!,"AAAAAH6/3sE=")</f>
        <v>#REF!</v>
      </c>
      <c r="GM7" t="e">
        <f>AND(#REF!,"AAAAAH6/3sI=")</f>
        <v>#REF!</v>
      </c>
      <c r="GN7" t="e">
        <f>AND(#REF!,"AAAAAH6/3sM=")</f>
        <v>#REF!</v>
      </c>
      <c r="GO7" t="e">
        <f>IF(#REF!,"AAAAAH6/3sQ=",0)</f>
        <v>#REF!</v>
      </c>
      <c r="GP7" t="e">
        <f>AND(#REF!,"AAAAAH6/3sU=")</f>
        <v>#REF!</v>
      </c>
      <c r="GQ7" t="e">
        <f>AND(#REF!,"AAAAAH6/3sY=")</f>
        <v>#REF!</v>
      </c>
      <c r="GR7" t="e">
        <f>AND(#REF!,"AAAAAH6/3sc=")</f>
        <v>#REF!</v>
      </c>
      <c r="GS7" t="e">
        <f>AND(#REF!,"AAAAAH6/3sg=")</f>
        <v>#REF!</v>
      </c>
      <c r="GT7" t="e">
        <f>AND(#REF!,"AAAAAH6/3sk=")</f>
        <v>#REF!</v>
      </c>
      <c r="GU7" t="e">
        <f>AND(#REF!,"AAAAAH6/3so=")</f>
        <v>#REF!</v>
      </c>
      <c r="GV7" t="e">
        <f>AND(#REF!,"AAAAAH6/3ss=")</f>
        <v>#REF!</v>
      </c>
      <c r="GW7" t="e">
        <f>AND(#REF!,"AAAAAH6/3sw=")</f>
        <v>#REF!</v>
      </c>
      <c r="GX7" t="e">
        <f>AND(#REF!,"AAAAAH6/3s0=")</f>
        <v>#REF!</v>
      </c>
      <c r="GY7" t="e">
        <f>AND(#REF!,"AAAAAH6/3s4=")</f>
        <v>#REF!</v>
      </c>
      <c r="GZ7" t="e">
        <f>AND(#REF!,"AAAAAH6/3s8=")</f>
        <v>#REF!</v>
      </c>
      <c r="HA7" t="e">
        <f>AND(#REF!,"AAAAAH6/3tA=")</f>
        <v>#REF!</v>
      </c>
      <c r="HB7" t="e">
        <f>IF(#REF!,"AAAAAH6/3tE=",0)</f>
        <v>#REF!</v>
      </c>
      <c r="HC7" t="e">
        <f>AND(#REF!,"AAAAAH6/3tI=")</f>
        <v>#REF!</v>
      </c>
      <c r="HD7" t="e">
        <f>AND(#REF!,"AAAAAH6/3tM=")</f>
        <v>#REF!</v>
      </c>
      <c r="HE7" t="e">
        <f>AND(#REF!,"AAAAAH6/3tQ=")</f>
        <v>#REF!</v>
      </c>
      <c r="HF7" t="e">
        <f>AND(#REF!,"AAAAAH6/3tU=")</f>
        <v>#REF!</v>
      </c>
      <c r="HG7" t="e">
        <f>AND(#REF!,"AAAAAH6/3tY=")</f>
        <v>#REF!</v>
      </c>
      <c r="HH7" t="e">
        <f>AND(#REF!,"AAAAAH6/3tc=")</f>
        <v>#REF!</v>
      </c>
      <c r="HI7" t="e">
        <f>AND(#REF!,"AAAAAH6/3tg=")</f>
        <v>#REF!</v>
      </c>
      <c r="HJ7" t="e">
        <f>AND(#REF!,"AAAAAH6/3tk=")</f>
        <v>#REF!</v>
      </c>
      <c r="HK7" t="e">
        <f>AND(#REF!,"AAAAAH6/3to=")</f>
        <v>#REF!</v>
      </c>
      <c r="HL7" t="e">
        <f>AND(#REF!,"AAAAAH6/3ts=")</f>
        <v>#REF!</v>
      </c>
      <c r="HM7" t="e">
        <f>AND(#REF!,"AAAAAH6/3tw=")</f>
        <v>#REF!</v>
      </c>
      <c r="HN7" t="e">
        <f>AND(#REF!,"AAAAAH6/3t0=")</f>
        <v>#REF!</v>
      </c>
      <c r="HO7" t="e">
        <f>IF(#REF!,"AAAAAH6/3t4=",0)</f>
        <v>#REF!</v>
      </c>
      <c r="HP7" t="e">
        <f>AND(#REF!,"AAAAAH6/3t8=")</f>
        <v>#REF!</v>
      </c>
      <c r="HQ7" t="e">
        <f>AND(#REF!,"AAAAAH6/3uA=")</f>
        <v>#REF!</v>
      </c>
      <c r="HR7" t="e">
        <f>AND(#REF!,"AAAAAH6/3uE=")</f>
        <v>#REF!</v>
      </c>
      <c r="HS7" t="e">
        <f>AND(#REF!,"AAAAAH6/3uI=")</f>
        <v>#REF!</v>
      </c>
      <c r="HT7" t="e">
        <f>AND(#REF!,"AAAAAH6/3uM=")</f>
        <v>#REF!</v>
      </c>
      <c r="HU7" t="e">
        <f>AND(#REF!,"AAAAAH6/3uQ=")</f>
        <v>#REF!</v>
      </c>
      <c r="HV7" t="e">
        <f>AND(#REF!,"AAAAAH6/3uU=")</f>
        <v>#REF!</v>
      </c>
      <c r="HW7" t="e">
        <f>AND(#REF!,"AAAAAH6/3uY=")</f>
        <v>#REF!</v>
      </c>
      <c r="HX7" t="e">
        <f>AND(#REF!,"AAAAAH6/3uc=")</f>
        <v>#REF!</v>
      </c>
      <c r="HY7" t="e">
        <f>AND(#REF!,"AAAAAH6/3ug=")</f>
        <v>#REF!</v>
      </c>
      <c r="HZ7" t="e">
        <f>AND(#REF!,"AAAAAH6/3uk=")</f>
        <v>#REF!</v>
      </c>
      <c r="IA7" t="e">
        <f>AND(#REF!,"AAAAAH6/3uo=")</f>
        <v>#REF!</v>
      </c>
      <c r="IB7" t="e">
        <f>IF(#REF!,"AAAAAH6/3us=",0)</f>
        <v>#REF!</v>
      </c>
      <c r="IC7" t="e">
        <f>AND(#REF!,"AAAAAH6/3uw=")</f>
        <v>#REF!</v>
      </c>
      <c r="ID7" t="e">
        <f>AND(#REF!,"AAAAAH6/3u0=")</f>
        <v>#REF!</v>
      </c>
      <c r="IE7" t="e">
        <f>AND(#REF!,"AAAAAH6/3u4=")</f>
        <v>#REF!</v>
      </c>
      <c r="IF7" t="e">
        <f>AND(#REF!,"AAAAAH6/3u8=")</f>
        <v>#REF!</v>
      </c>
      <c r="IG7" t="e">
        <f>AND(#REF!,"AAAAAH6/3vA=")</f>
        <v>#REF!</v>
      </c>
      <c r="IH7" t="e">
        <f>AND(#REF!,"AAAAAH6/3vE=")</f>
        <v>#REF!</v>
      </c>
      <c r="II7" t="e">
        <f>AND(#REF!,"AAAAAH6/3vI=")</f>
        <v>#REF!</v>
      </c>
      <c r="IJ7" t="e">
        <f>AND(#REF!,"AAAAAH6/3vM=")</f>
        <v>#REF!</v>
      </c>
      <c r="IK7" t="e">
        <f>AND(#REF!,"AAAAAH6/3vQ=")</f>
        <v>#REF!</v>
      </c>
      <c r="IL7" t="e">
        <f>AND(#REF!,"AAAAAH6/3vU=")</f>
        <v>#REF!</v>
      </c>
      <c r="IM7" t="e">
        <f>AND(#REF!,"AAAAAH6/3vY=")</f>
        <v>#REF!</v>
      </c>
      <c r="IN7" t="e">
        <f>AND(#REF!,"AAAAAH6/3vc=")</f>
        <v>#REF!</v>
      </c>
      <c r="IO7" t="e">
        <f>IF(#REF!,"AAAAAH6/3vg=",0)</f>
        <v>#REF!</v>
      </c>
      <c r="IP7" t="e">
        <f>AND(#REF!,"AAAAAH6/3vk=")</f>
        <v>#REF!</v>
      </c>
      <c r="IQ7" t="e">
        <f>AND(#REF!,"AAAAAH6/3vo=")</f>
        <v>#REF!</v>
      </c>
      <c r="IR7" t="e">
        <f>AND(#REF!,"AAAAAH6/3vs=")</f>
        <v>#REF!</v>
      </c>
      <c r="IS7" t="e">
        <f>AND(#REF!,"AAAAAH6/3vw=")</f>
        <v>#REF!</v>
      </c>
      <c r="IT7" t="e">
        <f>AND(#REF!,"AAAAAH6/3v0=")</f>
        <v>#REF!</v>
      </c>
      <c r="IU7" t="e">
        <f>AND(#REF!,"AAAAAH6/3v4=")</f>
        <v>#REF!</v>
      </c>
      <c r="IV7" t="e">
        <f>AND(#REF!,"AAAAAH6/3v8=")</f>
        <v>#REF!</v>
      </c>
    </row>
    <row r="8" spans="1:256">
      <c r="A8" t="e">
        <f>AND(#REF!,"AAAAAH+3LgA=")</f>
        <v>#REF!</v>
      </c>
      <c r="B8" t="e">
        <f>AND(#REF!,"AAAAAH+3LgE=")</f>
        <v>#REF!</v>
      </c>
      <c r="C8" t="e">
        <f>AND(#REF!,"AAAAAH+3LgI=")</f>
        <v>#REF!</v>
      </c>
      <c r="D8" t="e">
        <f>AND(#REF!,"AAAAAH+3LgM=")</f>
        <v>#REF!</v>
      </c>
      <c r="E8" t="e">
        <f>AND(#REF!,"AAAAAH+3LgQ=")</f>
        <v>#REF!</v>
      </c>
      <c r="F8" t="e">
        <f>IF(#REF!,"AAAAAH+3LgU=",0)</f>
        <v>#REF!</v>
      </c>
      <c r="G8" t="e">
        <f>AND(#REF!,"AAAAAH+3LgY=")</f>
        <v>#REF!</v>
      </c>
      <c r="H8" t="e">
        <f>AND(#REF!,"AAAAAH+3Lgc=")</f>
        <v>#REF!</v>
      </c>
      <c r="I8" t="e">
        <f>AND(#REF!,"AAAAAH+3Lgg=")</f>
        <v>#REF!</v>
      </c>
      <c r="J8" t="e">
        <f>AND(#REF!,"AAAAAH+3Lgk=")</f>
        <v>#REF!</v>
      </c>
      <c r="K8" t="e">
        <f>AND(#REF!,"AAAAAH+3Lgo=")</f>
        <v>#REF!</v>
      </c>
      <c r="L8" t="e">
        <f>AND(#REF!,"AAAAAH+3Lgs=")</f>
        <v>#REF!</v>
      </c>
      <c r="M8" t="e">
        <f>AND(#REF!,"AAAAAH+3Lgw=")</f>
        <v>#REF!</v>
      </c>
      <c r="N8" t="e">
        <f>AND(#REF!,"AAAAAH+3Lg0=")</f>
        <v>#REF!</v>
      </c>
      <c r="O8" t="e">
        <f>AND(#REF!,"AAAAAH+3Lg4=")</f>
        <v>#REF!</v>
      </c>
      <c r="P8" t="e">
        <f>AND(#REF!,"AAAAAH+3Lg8=")</f>
        <v>#REF!</v>
      </c>
      <c r="Q8" t="e">
        <f>AND(#REF!,"AAAAAH+3LhA=")</f>
        <v>#REF!</v>
      </c>
      <c r="R8" t="e">
        <f>AND(#REF!,"AAAAAH+3LhE=")</f>
        <v>#REF!</v>
      </c>
      <c r="S8" t="e">
        <f>IF(#REF!,"AAAAAH+3LhI=",0)</f>
        <v>#REF!</v>
      </c>
      <c r="T8" t="e">
        <f>AND(#REF!,"AAAAAH+3LhM=")</f>
        <v>#REF!</v>
      </c>
      <c r="U8" t="e">
        <f>AND(#REF!,"AAAAAH+3LhQ=")</f>
        <v>#REF!</v>
      </c>
      <c r="V8" t="e">
        <f>AND(#REF!,"AAAAAH+3LhU=")</f>
        <v>#REF!</v>
      </c>
      <c r="W8" t="e">
        <f>AND(#REF!,"AAAAAH+3LhY=")</f>
        <v>#REF!</v>
      </c>
      <c r="X8" t="e">
        <f>AND(#REF!,"AAAAAH+3Lhc=")</f>
        <v>#REF!</v>
      </c>
      <c r="Y8" t="e">
        <f>AND(#REF!,"AAAAAH+3Lhg=")</f>
        <v>#REF!</v>
      </c>
      <c r="Z8" t="e">
        <f>AND(#REF!,"AAAAAH+3Lhk=")</f>
        <v>#REF!</v>
      </c>
      <c r="AA8" t="e">
        <f>AND(#REF!,"AAAAAH+3Lho=")</f>
        <v>#REF!</v>
      </c>
      <c r="AB8" t="e">
        <f>AND(#REF!,"AAAAAH+3Lhs=")</f>
        <v>#REF!</v>
      </c>
      <c r="AC8" t="e">
        <f>AND(#REF!,"AAAAAH+3Lhw=")</f>
        <v>#REF!</v>
      </c>
      <c r="AD8" t="e">
        <f>AND(#REF!,"AAAAAH+3Lh0=")</f>
        <v>#REF!</v>
      </c>
      <c r="AE8" t="e">
        <f>AND(#REF!,"AAAAAH+3Lh4=")</f>
        <v>#REF!</v>
      </c>
      <c r="AF8" t="e">
        <f>IF(#REF!,"AAAAAH+3Lh8=",0)</f>
        <v>#REF!</v>
      </c>
      <c r="AG8" t="e">
        <f>AND(#REF!,"AAAAAH+3LiA=")</f>
        <v>#REF!</v>
      </c>
      <c r="AH8" t="e">
        <f>AND(#REF!,"AAAAAH+3LiE=")</f>
        <v>#REF!</v>
      </c>
      <c r="AI8" t="e">
        <f>AND(#REF!,"AAAAAH+3LiI=")</f>
        <v>#REF!</v>
      </c>
      <c r="AJ8" t="e">
        <f>AND(#REF!,"AAAAAH+3LiM=")</f>
        <v>#REF!</v>
      </c>
      <c r="AK8" t="e">
        <f>AND(#REF!,"AAAAAH+3LiQ=")</f>
        <v>#REF!</v>
      </c>
      <c r="AL8" t="e">
        <f>AND(#REF!,"AAAAAH+3LiU=")</f>
        <v>#REF!</v>
      </c>
      <c r="AM8" t="e">
        <f>AND(#REF!,"AAAAAH+3LiY=")</f>
        <v>#REF!</v>
      </c>
      <c r="AN8" t="e">
        <f>AND(#REF!,"AAAAAH+3Lic=")</f>
        <v>#REF!</v>
      </c>
      <c r="AO8" t="e">
        <f>AND(#REF!,"AAAAAH+3Lig=")</f>
        <v>#REF!</v>
      </c>
      <c r="AP8" t="e">
        <f>AND(#REF!,"AAAAAH+3Lik=")</f>
        <v>#REF!</v>
      </c>
      <c r="AQ8" t="e">
        <f>AND(#REF!,"AAAAAH+3Lio=")</f>
        <v>#REF!</v>
      </c>
      <c r="AR8" t="e">
        <f>AND(#REF!,"AAAAAH+3Lis=")</f>
        <v>#REF!</v>
      </c>
      <c r="AS8" t="e">
        <f>IF(#REF!,"AAAAAH+3Liw=",0)</f>
        <v>#REF!</v>
      </c>
      <c r="AT8" t="e">
        <f>AND(#REF!,"AAAAAH+3Li0=")</f>
        <v>#REF!</v>
      </c>
      <c r="AU8" t="e">
        <f>AND(#REF!,"AAAAAH+3Li4=")</f>
        <v>#REF!</v>
      </c>
      <c r="AV8" t="e">
        <f>AND(#REF!,"AAAAAH+3Li8=")</f>
        <v>#REF!</v>
      </c>
      <c r="AW8" t="e">
        <f>AND(#REF!,"AAAAAH+3LjA=")</f>
        <v>#REF!</v>
      </c>
      <c r="AX8" t="e">
        <f>AND(#REF!,"AAAAAH+3LjE=")</f>
        <v>#REF!</v>
      </c>
      <c r="AY8" t="e">
        <f>AND(#REF!,"AAAAAH+3LjI=")</f>
        <v>#REF!</v>
      </c>
      <c r="AZ8" t="e">
        <f>AND(#REF!,"AAAAAH+3LjM=")</f>
        <v>#REF!</v>
      </c>
      <c r="BA8" t="e">
        <f>AND(#REF!,"AAAAAH+3LjQ=")</f>
        <v>#REF!</v>
      </c>
      <c r="BB8" t="e">
        <f>AND(#REF!,"AAAAAH+3LjU=")</f>
        <v>#REF!</v>
      </c>
      <c r="BC8" t="e">
        <f>AND(#REF!,"AAAAAH+3LjY=")</f>
        <v>#REF!</v>
      </c>
      <c r="BD8" t="e">
        <f>AND(#REF!,"AAAAAH+3Ljc=")</f>
        <v>#REF!</v>
      </c>
      <c r="BE8" t="e">
        <f>AND(#REF!,"AAAAAH+3Ljg=")</f>
        <v>#REF!</v>
      </c>
      <c r="BF8" t="e">
        <f>IF(#REF!,"AAAAAH+3Ljk=",0)</f>
        <v>#REF!</v>
      </c>
      <c r="BG8" t="e">
        <f>AND(#REF!,"AAAAAH+3Ljo=")</f>
        <v>#REF!</v>
      </c>
      <c r="BH8" t="e">
        <f>AND(#REF!,"AAAAAH+3Ljs=")</f>
        <v>#REF!</v>
      </c>
      <c r="BI8" t="e">
        <f>AND(#REF!,"AAAAAH+3Ljw=")</f>
        <v>#REF!</v>
      </c>
      <c r="BJ8" t="e">
        <f>AND(#REF!,"AAAAAH+3Lj0=")</f>
        <v>#REF!</v>
      </c>
      <c r="BK8" t="e">
        <f>AND(#REF!,"AAAAAH+3Lj4=")</f>
        <v>#REF!</v>
      </c>
      <c r="BL8" t="e">
        <f>AND(#REF!,"AAAAAH+3Lj8=")</f>
        <v>#REF!</v>
      </c>
      <c r="BM8" t="e">
        <f>AND(#REF!,"AAAAAH+3LkA=")</f>
        <v>#REF!</v>
      </c>
      <c r="BN8" t="e">
        <f>AND(#REF!,"AAAAAH+3LkE=")</f>
        <v>#REF!</v>
      </c>
      <c r="BO8" t="e">
        <f>AND(#REF!,"AAAAAH+3LkI=")</f>
        <v>#REF!</v>
      </c>
      <c r="BP8" t="e">
        <f>AND(#REF!,"AAAAAH+3LkM=")</f>
        <v>#REF!</v>
      </c>
      <c r="BQ8" t="e">
        <f>AND(#REF!,"AAAAAH+3LkQ=")</f>
        <v>#REF!</v>
      </c>
      <c r="BR8" t="e">
        <f>AND(#REF!,"AAAAAH+3LkU=")</f>
        <v>#REF!</v>
      </c>
      <c r="BS8" t="e">
        <f>IF(#REF!,"AAAAAH+3LkY=",0)</f>
        <v>#REF!</v>
      </c>
      <c r="BT8" t="e">
        <f>AND(#REF!,"AAAAAH+3Lkc=")</f>
        <v>#REF!</v>
      </c>
      <c r="BU8" t="e">
        <f>AND(#REF!,"AAAAAH+3Lkg=")</f>
        <v>#REF!</v>
      </c>
      <c r="BV8" t="e">
        <f>AND(#REF!,"AAAAAH+3Lkk=")</f>
        <v>#REF!</v>
      </c>
      <c r="BW8" t="e">
        <f>AND(#REF!,"AAAAAH+3Lko=")</f>
        <v>#REF!</v>
      </c>
      <c r="BX8" t="e">
        <f>AND(#REF!,"AAAAAH+3Lks=")</f>
        <v>#REF!</v>
      </c>
      <c r="BY8" t="e">
        <f>AND(#REF!,"AAAAAH+3Lkw=")</f>
        <v>#REF!</v>
      </c>
      <c r="BZ8" t="e">
        <f>AND(#REF!,"AAAAAH+3Lk0=")</f>
        <v>#REF!</v>
      </c>
      <c r="CA8" t="e">
        <f>AND(#REF!,"AAAAAH+3Lk4=")</f>
        <v>#REF!</v>
      </c>
      <c r="CB8" t="e">
        <f>AND(#REF!,"AAAAAH+3Lk8=")</f>
        <v>#REF!</v>
      </c>
      <c r="CC8" t="e">
        <f>AND(#REF!,"AAAAAH+3LlA=")</f>
        <v>#REF!</v>
      </c>
      <c r="CD8" t="e">
        <f>AND(#REF!,"AAAAAH+3LlE=")</f>
        <v>#REF!</v>
      </c>
      <c r="CE8" t="e">
        <f>AND(#REF!,"AAAAAH+3LlI=")</f>
        <v>#REF!</v>
      </c>
      <c r="CF8" t="e">
        <f>IF(#REF!,"AAAAAH+3LlM=",0)</f>
        <v>#REF!</v>
      </c>
      <c r="CG8" t="e">
        <f>AND(#REF!,"AAAAAH+3LlQ=")</f>
        <v>#REF!</v>
      </c>
      <c r="CH8" t="e">
        <f>AND(#REF!,"AAAAAH+3LlU=")</f>
        <v>#REF!</v>
      </c>
      <c r="CI8" t="e">
        <f>AND(#REF!,"AAAAAH+3LlY=")</f>
        <v>#REF!</v>
      </c>
      <c r="CJ8" t="e">
        <f>AND(#REF!,"AAAAAH+3Llc=")</f>
        <v>#REF!</v>
      </c>
      <c r="CK8" t="e">
        <f>AND(#REF!,"AAAAAH+3Llg=")</f>
        <v>#REF!</v>
      </c>
      <c r="CL8" t="e">
        <f>AND(#REF!,"AAAAAH+3Llk=")</f>
        <v>#REF!</v>
      </c>
      <c r="CM8" t="e">
        <f>AND(#REF!,"AAAAAH+3Llo=")</f>
        <v>#REF!</v>
      </c>
      <c r="CN8" t="e">
        <f>AND(#REF!,"AAAAAH+3Lls=")</f>
        <v>#REF!</v>
      </c>
      <c r="CO8" t="e">
        <f>AND(#REF!,"AAAAAH+3Llw=")</f>
        <v>#REF!</v>
      </c>
      <c r="CP8" t="e">
        <f>AND(#REF!,"AAAAAH+3Ll0=")</f>
        <v>#REF!</v>
      </c>
      <c r="CQ8" t="e">
        <f>AND(#REF!,"AAAAAH+3Ll4=")</f>
        <v>#REF!</v>
      </c>
      <c r="CR8" t="e">
        <f>AND(#REF!,"AAAAAH+3Ll8=")</f>
        <v>#REF!</v>
      </c>
      <c r="CS8" t="e">
        <f>IF(#REF!,"AAAAAH+3LmA=",0)</f>
        <v>#REF!</v>
      </c>
      <c r="CT8" t="e">
        <f>AND(#REF!,"AAAAAH+3LmE=")</f>
        <v>#REF!</v>
      </c>
      <c r="CU8" t="e">
        <f>AND(#REF!,"AAAAAH+3LmI=")</f>
        <v>#REF!</v>
      </c>
      <c r="CV8" t="e">
        <f>AND(#REF!,"AAAAAH+3LmM=")</f>
        <v>#REF!</v>
      </c>
      <c r="CW8" t="e">
        <f>AND(#REF!,"AAAAAH+3LmQ=")</f>
        <v>#REF!</v>
      </c>
      <c r="CX8" t="e">
        <f>AND(#REF!,"AAAAAH+3LmU=")</f>
        <v>#REF!</v>
      </c>
      <c r="CY8" t="e">
        <f>AND(#REF!,"AAAAAH+3LmY=")</f>
        <v>#REF!</v>
      </c>
      <c r="CZ8" t="e">
        <f>AND(#REF!,"AAAAAH+3Lmc=")</f>
        <v>#REF!</v>
      </c>
      <c r="DA8" t="e">
        <f>AND(#REF!,"AAAAAH+3Lmg=")</f>
        <v>#REF!</v>
      </c>
      <c r="DB8" t="e">
        <f>AND(#REF!,"AAAAAH+3Lmk=")</f>
        <v>#REF!</v>
      </c>
      <c r="DC8" t="e">
        <f>AND(#REF!,"AAAAAH+3Lmo=")</f>
        <v>#REF!</v>
      </c>
      <c r="DD8" t="e">
        <f>AND(#REF!,"AAAAAH+3Lms=")</f>
        <v>#REF!</v>
      </c>
      <c r="DE8" t="e">
        <f>AND(#REF!,"AAAAAH+3Lmw=")</f>
        <v>#REF!</v>
      </c>
      <c r="DF8" t="e">
        <f>IF(#REF!,"AAAAAH+3Lm0=",0)</f>
        <v>#REF!</v>
      </c>
      <c r="DG8" t="e">
        <f>AND(#REF!,"AAAAAH+3Lm4=")</f>
        <v>#REF!</v>
      </c>
      <c r="DH8" t="e">
        <f>AND(#REF!,"AAAAAH+3Lm8=")</f>
        <v>#REF!</v>
      </c>
      <c r="DI8" t="e">
        <f>AND(#REF!,"AAAAAH+3LnA=")</f>
        <v>#REF!</v>
      </c>
      <c r="DJ8" t="e">
        <f>AND(#REF!,"AAAAAH+3LnE=")</f>
        <v>#REF!</v>
      </c>
      <c r="DK8" t="e">
        <f>AND(#REF!,"AAAAAH+3LnI=")</f>
        <v>#REF!</v>
      </c>
      <c r="DL8" t="e">
        <f>AND(#REF!,"AAAAAH+3LnM=")</f>
        <v>#REF!</v>
      </c>
      <c r="DM8" t="e">
        <f>AND(#REF!,"AAAAAH+3LnQ=")</f>
        <v>#REF!</v>
      </c>
      <c r="DN8" t="e">
        <f>AND(#REF!,"AAAAAH+3LnU=")</f>
        <v>#REF!</v>
      </c>
      <c r="DO8" t="e">
        <f>AND(#REF!,"AAAAAH+3LnY=")</f>
        <v>#REF!</v>
      </c>
      <c r="DP8" t="e">
        <f>AND(#REF!,"AAAAAH+3Lnc=")</f>
        <v>#REF!</v>
      </c>
      <c r="DQ8" t="e">
        <f>AND(#REF!,"AAAAAH+3Lng=")</f>
        <v>#REF!</v>
      </c>
      <c r="DR8" t="e">
        <f>AND(#REF!,"AAAAAH+3Lnk=")</f>
        <v>#REF!</v>
      </c>
      <c r="DS8" t="e">
        <f>IF(#REF!,"AAAAAH+3Lno=",0)</f>
        <v>#REF!</v>
      </c>
      <c r="DT8" t="e">
        <f>AND(#REF!,"AAAAAH+3Lns=")</f>
        <v>#REF!</v>
      </c>
      <c r="DU8" t="e">
        <f>AND(#REF!,"AAAAAH+3Lnw=")</f>
        <v>#REF!</v>
      </c>
      <c r="DV8" t="e">
        <f>AND(#REF!,"AAAAAH+3Ln0=")</f>
        <v>#REF!</v>
      </c>
      <c r="DW8" t="e">
        <f>AND(#REF!,"AAAAAH+3Ln4=")</f>
        <v>#REF!</v>
      </c>
      <c r="DX8" t="e">
        <f>AND(#REF!,"AAAAAH+3Ln8=")</f>
        <v>#REF!</v>
      </c>
      <c r="DY8" t="e">
        <f>AND(#REF!,"AAAAAH+3LoA=")</f>
        <v>#REF!</v>
      </c>
      <c r="DZ8" t="e">
        <f>AND(#REF!,"AAAAAH+3LoE=")</f>
        <v>#REF!</v>
      </c>
      <c r="EA8" t="e">
        <f>AND(#REF!,"AAAAAH+3LoI=")</f>
        <v>#REF!</v>
      </c>
      <c r="EB8" t="e">
        <f>AND(#REF!,"AAAAAH+3LoM=")</f>
        <v>#REF!</v>
      </c>
      <c r="EC8" t="e">
        <f>AND(#REF!,"AAAAAH+3LoQ=")</f>
        <v>#REF!</v>
      </c>
      <c r="ED8" t="e">
        <f>AND(#REF!,"AAAAAH+3LoU=")</f>
        <v>#REF!</v>
      </c>
      <c r="EE8" t="e">
        <f>AND(#REF!,"AAAAAH+3LoY=")</f>
        <v>#REF!</v>
      </c>
      <c r="EF8" t="e">
        <f>IF(#REF!,"AAAAAH+3Loc=",0)</f>
        <v>#REF!</v>
      </c>
      <c r="EG8" t="e">
        <f>AND(#REF!,"AAAAAH+3Log=")</f>
        <v>#REF!</v>
      </c>
      <c r="EH8" t="e">
        <f>AND(#REF!,"AAAAAH+3Lok=")</f>
        <v>#REF!</v>
      </c>
      <c r="EI8" t="e">
        <f>AND(#REF!,"AAAAAH+3Loo=")</f>
        <v>#REF!</v>
      </c>
      <c r="EJ8" t="e">
        <f>AND(#REF!,"AAAAAH+3Los=")</f>
        <v>#REF!</v>
      </c>
      <c r="EK8" t="e">
        <f>AND(#REF!,"AAAAAH+3Low=")</f>
        <v>#REF!</v>
      </c>
      <c r="EL8" t="e">
        <f>AND(#REF!,"AAAAAH+3Lo0=")</f>
        <v>#REF!</v>
      </c>
      <c r="EM8" t="e">
        <f>AND(#REF!,"AAAAAH+3Lo4=")</f>
        <v>#REF!</v>
      </c>
      <c r="EN8" t="e">
        <f>AND(#REF!,"AAAAAH+3Lo8=")</f>
        <v>#REF!</v>
      </c>
      <c r="EO8" t="e">
        <f>AND(#REF!,"AAAAAH+3LpA=")</f>
        <v>#REF!</v>
      </c>
      <c r="EP8" t="e">
        <f>AND(#REF!,"AAAAAH+3LpE=")</f>
        <v>#REF!</v>
      </c>
      <c r="EQ8" t="e">
        <f>AND(#REF!,"AAAAAH+3LpI=")</f>
        <v>#REF!</v>
      </c>
      <c r="ER8" t="e">
        <f>AND(#REF!,"AAAAAH+3LpM=")</f>
        <v>#REF!</v>
      </c>
      <c r="ES8" t="e">
        <f>IF(#REF!,"AAAAAH+3LpQ=",0)</f>
        <v>#REF!</v>
      </c>
      <c r="ET8" t="e">
        <f>AND(#REF!,"AAAAAH+3LpU=")</f>
        <v>#REF!</v>
      </c>
      <c r="EU8" t="e">
        <f>AND(#REF!,"AAAAAH+3LpY=")</f>
        <v>#REF!</v>
      </c>
      <c r="EV8" t="e">
        <f>AND(#REF!,"AAAAAH+3Lpc=")</f>
        <v>#REF!</v>
      </c>
      <c r="EW8" t="e">
        <f>AND(#REF!,"AAAAAH+3Lpg=")</f>
        <v>#REF!</v>
      </c>
      <c r="EX8" t="e">
        <f>AND(#REF!,"AAAAAH+3Lpk=")</f>
        <v>#REF!</v>
      </c>
      <c r="EY8" t="e">
        <f>AND(#REF!,"AAAAAH+3Lpo=")</f>
        <v>#REF!</v>
      </c>
      <c r="EZ8" t="e">
        <f>AND(#REF!,"AAAAAH+3Lps=")</f>
        <v>#REF!</v>
      </c>
      <c r="FA8" t="e">
        <f>AND(#REF!,"AAAAAH+3Lpw=")</f>
        <v>#REF!</v>
      </c>
      <c r="FB8" t="e">
        <f>AND(#REF!,"AAAAAH+3Lp0=")</f>
        <v>#REF!</v>
      </c>
      <c r="FC8" t="e">
        <f>AND(#REF!,"AAAAAH+3Lp4=")</f>
        <v>#REF!</v>
      </c>
      <c r="FD8" t="e">
        <f>AND(#REF!,"AAAAAH+3Lp8=")</f>
        <v>#REF!</v>
      </c>
      <c r="FE8" t="e">
        <f>AND(#REF!,"AAAAAH+3LqA=")</f>
        <v>#REF!</v>
      </c>
      <c r="FF8" t="e">
        <f>IF(#REF!,"AAAAAH+3LqE=",0)</f>
        <v>#REF!</v>
      </c>
      <c r="FG8" t="e">
        <f>AND(#REF!,"AAAAAH+3LqI=")</f>
        <v>#REF!</v>
      </c>
      <c r="FH8" t="e">
        <f>AND(#REF!,"AAAAAH+3LqM=")</f>
        <v>#REF!</v>
      </c>
      <c r="FI8" t="e">
        <f>AND(#REF!,"AAAAAH+3LqQ=")</f>
        <v>#REF!</v>
      </c>
      <c r="FJ8" t="e">
        <f>AND(#REF!,"AAAAAH+3LqU=")</f>
        <v>#REF!</v>
      </c>
      <c r="FK8" t="e">
        <f>AND(#REF!,"AAAAAH+3LqY=")</f>
        <v>#REF!</v>
      </c>
      <c r="FL8" t="e">
        <f>AND(#REF!,"AAAAAH+3Lqc=")</f>
        <v>#REF!</v>
      </c>
      <c r="FM8" t="e">
        <f>AND(#REF!,"AAAAAH+3Lqg=")</f>
        <v>#REF!</v>
      </c>
      <c r="FN8" t="e">
        <f>AND(#REF!,"AAAAAH+3Lqk=")</f>
        <v>#REF!</v>
      </c>
      <c r="FO8" t="e">
        <f>AND(#REF!,"AAAAAH+3Lqo=")</f>
        <v>#REF!</v>
      </c>
      <c r="FP8" t="e">
        <f>AND(#REF!,"AAAAAH+3Lqs=")</f>
        <v>#REF!</v>
      </c>
      <c r="FQ8" t="e">
        <f>AND(#REF!,"AAAAAH+3Lqw=")</f>
        <v>#REF!</v>
      </c>
      <c r="FR8" t="e">
        <f>AND(#REF!,"AAAAAH+3Lq0=")</f>
        <v>#REF!</v>
      </c>
      <c r="FS8" t="e">
        <f>IF(#REF!,"AAAAAH+3Lq4=",0)</f>
        <v>#REF!</v>
      </c>
      <c r="FT8" t="e">
        <f>AND(#REF!,"AAAAAH+3Lq8=")</f>
        <v>#REF!</v>
      </c>
      <c r="FU8" t="e">
        <f>AND(#REF!,"AAAAAH+3LrA=")</f>
        <v>#REF!</v>
      </c>
      <c r="FV8" t="e">
        <f>AND(#REF!,"AAAAAH+3LrE=")</f>
        <v>#REF!</v>
      </c>
      <c r="FW8" t="e">
        <f>AND(#REF!,"AAAAAH+3LrI=")</f>
        <v>#REF!</v>
      </c>
      <c r="FX8" t="e">
        <f>AND(#REF!,"AAAAAH+3LrM=")</f>
        <v>#REF!</v>
      </c>
      <c r="FY8" t="e">
        <f>AND(#REF!,"AAAAAH+3LrQ=")</f>
        <v>#REF!</v>
      </c>
      <c r="FZ8" t="e">
        <f>AND(#REF!,"AAAAAH+3LrU=")</f>
        <v>#REF!</v>
      </c>
      <c r="GA8" t="e">
        <f>AND(#REF!,"AAAAAH+3LrY=")</f>
        <v>#REF!</v>
      </c>
      <c r="GB8" t="e">
        <f>AND(#REF!,"AAAAAH+3Lrc=")</f>
        <v>#REF!</v>
      </c>
      <c r="GC8" t="e">
        <f>AND(#REF!,"AAAAAH+3Lrg=")</f>
        <v>#REF!</v>
      </c>
      <c r="GD8" t="e">
        <f>AND(#REF!,"AAAAAH+3Lrk=")</f>
        <v>#REF!</v>
      </c>
      <c r="GE8" t="e">
        <f>AND(#REF!,"AAAAAH+3Lro=")</f>
        <v>#REF!</v>
      </c>
      <c r="GF8" t="e">
        <f>IF(#REF!,"AAAAAH+3Lrs=",0)</f>
        <v>#REF!</v>
      </c>
      <c r="GG8" t="e">
        <f>AND(#REF!,"AAAAAH+3Lrw=")</f>
        <v>#REF!</v>
      </c>
      <c r="GH8" t="e">
        <f>AND(#REF!,"AAAAAH+3Lr0=")</f>
        <v>#REF!</v>
      </c>
      <c r="GI8" t="e">
        <f>AND(#REF!,"AAAAAH+3Lr4=")</f>
        <v>#REF!</v>
      </c>
      <c r="GJ8" t="e">
        <f>AND(#REF!,"AAAAAH+3Lr8=")</f>
        <v>#REF!</v>
      </c>
      <c r="GK8" t="e">
        <f>AND(#REF!,"AAAAAH+3LsA=")</f>
        <v>#REF!</v>
      </c>
      <c r="GL8" t="e">
        <f>AND(#REF!,"AAAAAH+3LsE=")</f>
        <v>#REF!</v>
      </c>
      <c r="GM8" t="e">
        <f>AND(#REF!,"AAAAAH+3LsI=")</f>
        <v>#REF!</v>
      </c>
      <c r="GN8" t="e">
        <f>AND(#REF!,"AAAAAH+3LsM=")</f>
        <v>#REF!</v>
      </c>
      <c r="GO8" t="e">
        <f>AND(#REF!,"AAAAAH+3LsQ=")</f>
        <v>#REF!</v>
      </c>
      <c r="GP8" t="e">
        <f>AND(#REF!,"AAAAAH+3LsU=")</f>
        <v>#REF!</v>
      </c>
      <c r="GQ8" t="e">
        <f>AND(#REF!,"AAAAAH+3LsY=")</f>
        <v>#REF!</v>
      </c>
      <c r="GR8" t="e">
        <f>AND(#REF!,"AAAAAH+3Lsc=")</f>
        <v>#REF!</v>
      </c>
      <c r="GS8" t="e">
        <f>IF(#REF!,"AAAAAH+3Lsg=",0)</f>
        <v>#REF!</v>
      </c>
      <c r="GT8" t="e">
        <f>AND(#REF!,"AAAAAH+3Lsk=")</f>
        <v>#REF!</v>
      </c>
      <c r="GU8" t="e">
        <f>AND(#REF!,"AAAAAH+3Lso=")</f>
        <v>#REF!</v>
      </c>
      <c r="GV8" t="e">
        <f>AND(#REF!,"AAAAAH+3Lss=")</f>
        <v>#REF!</v>
      </c>
      <c r="GW8" t="e">
        <f>AND(#REF!,"AAAAAH+3Lsw=")</f>
        <v>#REF!</v>
      </c>
      <c r="GX8" t="e">
        <f>AND(#REF!,"AAAAAH+3Ls0=")</f>
        <v>#REF!</v>
      </c>
      <c r="GY8" t="e">
        <f>AND(#REF!,"AAAAAH+3Ls4=")</f>
        <v>#REF!</v>
      </c>
      <c r="GZ8" t="e">
        <f>AND(#REF!,"AAAAAH+3Ls8=")</f>
        <v>#REF!</v>
      </c>
      <c r="HA8" t="e">
        <f>AND(#REF!,"AAAAAH+3LtA=")</f>
        <v>#REF!</v>
      </c>
      <c r="HB8" t="e">
        <f>AND(#REF!,"AAAAAH+3LtE=")</f>
        <v>#REF!</v>
      </c>
      <c r="HC8" t="e">
        <f>AND(#REF!,"AAAAAH+3LtI=")</f>
        <v>#REF!</v>
      </c>
      <c r="HD8" t="e">
        <f>AND(#REF!,"AAAAAH+3LtM=")</f>
        <v>#REF!</v>
      </c>
      <c r="HE8" t="e">
        <f>AND(#REF!,"AAAAAH+3LtQ=")</f>
        <v>#REF!</v>
      </c>
      <c r="HF8" t="e">
        <f>IF(#REF!,"AAAAAH+3LtU=",0)</f>
        <v>#REF!</v>
      </c>
      <c r="HG8" t="e">
        <f>AND(#REF!,"AAAAAH+3LtY=")</f>
        <v>#REF!</v>
      </c>
      <c r="HH8" t="e">
        <f>AND(#REF!,"AAAAAH+3Ltc=")</f>
        <v>#REF!</v>
      </c>
      <c r="HI8" t="e">
        <f>AND(#REF!,"AAAAAH+3Ltg=")</f>
        <v>#REF!</v>
      </c>
      <c r="HJ8" t="e">
        <f>AND(#REF!,"AAAAAH+3Ltk=")</f>
        <v>#REF!</v>
      </c>
      <c r="HK8" t="e">
        <f>AND(#REF!,"AAAAAH+3Lto=")</f>
        <v>#REF!</v>
      </c>
      <c r="HL8" t="e">
        <f>AND(#REF!,"AAAAAH+3Lts=")</f>
        <v>#REF!</v>
      </c>
      <c r="HM8" t="e">
        <f>AND(#REF!,"AAAAAH+3Ltw=")</f>
        <v>#REF!</v>
      </c>
      <c r="HN8" t="e">
        <f>AND(#REF!,"AAAAAH+3Lt0=")</f>
        <v>#REF!</v>
      </c>
      <c r="HO8" t="e">
        <f>AND(#REF!,"AAAAAH+3Lt4=")</f>
        <v>#REF!</v>
      </c>
      <c r="HP8" t="e">
        <f>AND(#REF!,"AAAAAH+3Lt8=")</f>
        <v>#REF!</v>
      </c>
      <c r="HQ8" t="e">
        <f>AND(#REF!,"AAAAAH+3LuA=")</f>
        <v>#REF!</v>
      </c>
      <c r="HR8" t="e">
        <f>AND(#REF!,"AAAAAH+3LuE=")</f>
        <v>#REF!</v>
      </c>
      <c r="HS8" t="e">
        <f>IF(#REF!,"AAAAAH+3LuI=",0)</f>
        <v>#REF!</v>
      </c>
      <c r="HT8" t="e">
        <f>AND(#REF!,"AAAAAH+3LuM=")</f>
        <v>#REF!</v>
      </c>
      <c r="HU8" t="e">
        <f>AND(#REF!,"AAAAAH+3LuQ=")</f>
        <v>#REF!</v>
      </c>
      <c r="HV8" t="e">
        <f>AND(#REF!,"AAAAAH+3LuU=")</f>
        <v>#REF!</v>
      </c>
      <c r="HW8" t="e">
        <f>AND(#REF!,"AAAAAH+3LuY=")</f>
        <v>#REF!</v>
      </c>
      <c r="HX8" t="e">
        <f>AND(#REF!,"AAAAAH+3Luc=")</f>
        <v>#REF!</v>
      </c>
      <c r="HY8" t="e">
        <f>AND(#REF!,"AAAAAH+3Lug=")</f>
        <v>#REF!</v>
      </c>
      <c r="HZ8" t="e">
        <f>AND(#REF!,"AAAAAH+3Luk=")</f>
        <v>#REF!</v>
      </c>
      <c r="IA8" t="e">
        <f>AND(#REF!,"AAAAAH+3Luo=")</f>
        <v>#REF!</v>
      </c>
      <c r="IB8" t="e">
        <f>AND(#REF!,"AAAAAH+3Lus=")</f>
        <v>#REF!</v>
      </c>
      <c r="IC8" t="e">
        <f>AND(#REF!,"AAAAAH+3Luw=")</f>
        <v>#REF!</v>
      </c>
      <c r="ID8" t="e">
        <f>AND(#REF!,"AAAAAH+3Lu0=")</f>
        <v>#REF!</v>
      </c>
      <c r="IE8" t="e">
        <f>AND(#REF!,"AAAAAH+3Lu4=")</f>
        <v>#REF!</v>
      </c>
      <c r="IF8" t="e">
        <f>IF(#REF!,"AAAAAH+3Lu8=",0)</f>
        <v>#REF!</v>
      </c>
      <c r="IG8" t="e">
        <f>AND(#REF!,"AAAAAH+3LvA=")</f>
        <v>#REF!</v>
      </c>
      <c r="IH8" t="e">
        <f>AND(#REF!,"AAAAAH+3LvE=")</f>
        <v>#REF!</v>
      </c>
      <c r="II8" t="e">
        <f>AND(#REF!,"AAAAAH+3LvI=")</f>
        <v>#REF!</v>
      </c>
      <c r="IJ8" t="e">
        <f>AND(#REF!,"AAAAAH+3LvM=")</f>
        <v>#REF!</v>
      </c>
      <c r="IK8" t="e">
        <f>AND(#REF!,"AAAAAH+3LvQ=")</f>
        <v>#REF!</v>
      </c>
      <c r="IL8" t="e">
        <f>AND(#REF!,"AAAAAH+3LvU=")</f>
        <v>#REF!</v>
      </c>
      <c r="IM8" t="e">
        <f>AND(#REF!,"AAAAAH+3LvY=")</f>
        <v>#REF!</v>
      </c>
      <c r="IN8" t="e">
        <f>AND(#REF!,"AAAAAH+3Lvc=")</f>
        <v>#REF!</v>
      </c>
      <c r="IO8" t="e">
        <f>AND(#REF!,"AAAAAH+3Lvg=")</f>
        <v>#REF!</v>
      </c>
      <c r="IP8" t="e">
        <f>AND(#REF!,"AAAAAH+3Lvk=")</f>
        <v>#REF!</v>
      </c>
      <c r="IQ8" t="e">
        <f>AND(#REF!,"AAAAAH+3Lvo=")</f>
        <v>#REF!</v>
      </c>
      <c r="IR8" t="e">
        <f>AND(#REF!,"AAAAAH+3Lvs=")</f>
        <v>#REF!</v>
      </c>
      <c r="IS8" t="e">
        <f>IF(#REF!,"AAAAAH+3Lvw=",0)</f>
        <v>#REF!</v>
      </c>
      <c r="IT8" t="e">
        <f>AND(#REF!,"AAAAAH+3Lv0=")</f>
        <v>#REF!</v>
      </c>
      <c r="IU8" t="e">
        <f>AND(#REF!,"AAAAAH+3Lv4=")</f>
        <v>#REF!</v>
      </c>
      <c r="IV8" t="e">
        <f>AND(#REF!,"AAAAAH+3Lv8=")</f>
        <v>#REF!</v>
      </c>
    </row>
    <row r="9" spans="1:256">
      <c r="A9" t="e">
        <f>AND(#REF!,"AAAAAD3c/AA=")</f>
        <v>#REF!</v>
      </c>
      <c r="B9" t="e">
        <f>AND(#REF!,"AAAAAD3c/AE=")</f>
        <v>#REF!</v>
      </c>
      <c r="C9" t="e">
        <f>AND(#REF!,"AAAAAD3c/AI=")</f>
        <v>#REF!</v>
      </c>
      <c r="D9" t="e">
        <f>AND(#REF!,"AAAAAD3c/AM=")</f>
        <v>#REF!</v>
      </c>
      <c r="E9" t="e">
        <f>AND(#REF!,"AAAAAD3c/AQ=")</f>
        <v>#REF!</v>
      </c>
      <c r="F9" t="e">
        <f>AND(#REF!,"AAAAAD3c/AU=")</f>
        <v>#REF!</v>
      </c>
      <c r="G9" t="e">
        <f>AND(#REF!,"AAAAAD3c/AY=")</f>
        <v>#REF!</v>
      </c>
      <c r="H9" t="e">
        <f>AND(#REF!,"AAAAAD3c/Ac=")</f>
        <v>#REF!</v>
      </c>
      <c r="I9" t="e">
        <f>AND(#REF!,"AAAAAD3c/Ag=")</f>
        <v>#REF!</v>
      </c>
      <c r="J9" t="e">
        <f>IF(#REF!,"AAAAAD3c/Ak=",0)</f>
        <v>#REF!</v>
      </c>
      <c r="K9" t="e">
        <f>AND(#REF!,"AAAAAD3c/Ao=")</f>
        <v>#REF!</v>
      </c>
      <c r="L9" t="e">
        <f>AND(#REF!,"AAAAAD3c/As=")</f>
        <v>#REF!</v>
      </c>
      <c r="M9" t="e">
        <f>AND(#REF!,"AAAAAD3c/Aw=")</f>
        <v>#REF!</v>
      </c>
      <c r="N9" t="e">
        <f>AND(#REF!,"AAAAAD3c/A0=")</f>
        <v>#REF!</v>
      </c>
      <c r="O9" t="e">
        <f>AND(#REF!,"AAAAAD3c/A4=")</f>
        <v>#REF!</v>
      </c>
      <c r="P9" t="e">
        <f>AND(#REF!,"AAAAAD3c/A8=")</f>
        <v>#REF!</v>
      </c>
      <c r="Q9" t="e">
        <f>AND(#REF!,"AAAAAD3c/BA=")</f>
        <v>#REF!</v>
      </c>
      <c r="R9" t="e">
        <f>AND(#REF!,"AAAAAD3c/BE=")</f>
        <v>#REF!</v>
      </c>
      <c r="S9" t="e">
        <f>AND(#REF!,"AAAAAD3c/BI=")</f>
        <v>#REF!</v>
      </c>
      <c r="T9" t="e">
        <f>AND(#REF!,"AAAAAD3c/BM=")</f>
        <v>#REF!</v>
      </c>
      <c r="U9" t="e">
        <f>AND(#REF!,"AAAAAD3c/BQ=")</f>
        <v>#REF!</v>
      </c>
      <c r="V9" t="e">
        <f>AND(#REF!,"AAAAAD3c/BU=")</f>
        <v>#REF!</v>
      </c>
      <c r="W9" t="e">
        <f>IF(#REF!,"AAAAAD3c/BY=",0)</f>
        <v>#REF!</v>
      </c>
      <c r="X9" t="e">
        <f>AND(#REF!,"AAAAAD3c/Bc=")</f>
        <v>#REF!</v>
      </c>
      <c r="Y9" t="e">
        <f>AND(#REF!,"AAAAAD3c/Bg=")</f>
        <v>#REF!</v>
      </c>
      <c r="Z9" t="e">
        <f>AND(#REF!,"AAAAAD3c/Bk=")</f>
        <v>#REF!</v>
      </c>
      <c r="AA9" t="e">
        <f>AND(#REF!,"AAAAAD3c/Bo=")</f>
        <v>#REF!</v>
      </c>
      <c r="AB9" t="e">
        <f>AND(#REF!,"AAAAAD3c/Bs=")</f>
        <v>#REF!</v>
      </c>
      <c r="AC9" t="e">
        <f>AND(#REF!,"AAAAAD3c/Bw=")</f>
        <v>#REF!</v>
      </c>
      <c r="AD9" t="e">
        <f>AND(#REF!,"AAAAAD3c/B0=")</f>
        <v>#REF!</v>
      </c>
      <c r="AE9" t="e">
        <f>AND(#REF!,"AAAAAD3c/B4=")</f>
        <v>#REF!</v>
      </c>
      <c r="AF9" t="e">
        <f>AND(#REF!,"AAAAAD3c/B8=")</f>
        <v>#REF!</v>
      </c>
      <c r="AG9" t="e">
        <f>AND(#REF!,"AAAAAD3c/CA=")</f>
        <v>#REF!</v>
      </c>
      <c r="AH9" t="e">
        <f>AND(#REF!,"AAAAAD3c/CE=")</f>
        <v>#REF!</v>
      </c>
      <c r="AI9" t="e">
        <f>AND(#REF!,"AAAAAD3c/CI=")</f>
        <v>#REF!</v>
      </c>
      <c r="AJ9" t="e">
        <f>IF(#REF!,"AAAAAD3c/CM=",0)</f>
        <v>#REF!</v>
      </c>
      <c r="AK9" t="e">
        <f>AND(#REF!,"AAAAAD3c/CQ=")</f>
        <v>#REF!</v>
      </c>
      <c r="AL9" t="e">
        <f>AND(#REF!,"AAAAAD3c/CU=")</f>
        <v>#REF!</v>
      </c>
      <c r="AM9" t="e">
        <f>AND(#REF!,"AAAAAD3c/CY=")</f>
        <v>#REF!</v>
      </c>
      <c r="AN9" t="e">
        <f>AND(#REF!,"AAAAAD3c/Cc=")</f>
        <v>#REF!</v>
      </c>
      <c r="AO9" t="e">
        <f>AND(#REF!,"AAAAAD3c/Cg=")</f>
        <v>#REF!</v>
      </c>
      <c r="AP9" t="e">
        <f>AND(#REF!,"AAAAAD3c/Ck=")</f>
        <v>#REF!</v>
      </c>
      <c r="AQ9" t="e">
        <f>AND(#REF!,"AAAAAD3c/Co=")</f>
        <v>#REF!</v>
      </c>
      <c r="AR9" t="e">
        <f>AND(#REF!,"AAAAAD3c/Cs=")</f>
        <v>#REF!</v>
      </c>
      <c r="AS9" t="e">
        <f>AND(#REF!,"AAAAAD3c/Cw=")</f>
        <v>#REF!</v>
      </c>
      <c r="AT9" t="e">
        <f>AND(#REF!,"AAAAAD3c/C0=")</f>
        <v>#REF!</v>
      </c>
      <c r="AU9" t="e">
        <f>AND(#REF!,"AAAAAD3c/C4=")</f>
        <v>#REF!</v>
      </c>
      <c r="AV9" t="e">
        <f>AND(#REF!,"AAAAAD3c/C8=")</f>
        <v>#REF!</v>
      </c>
      <c r="AW9" t="e">
        <f>IF(#REF!,"AAAAAD3c/DA=",0)</f>
        <v>#REF!</v>
      </c>
      <c r="AX9" t="e">
        <f>AND(#REF!,"AAAAAD3c/DE=")</f>
        <v>#REF!</v>
      </c>
      <c r="AY9" t="e">
        <f>AND(#REF!,"AAAAAD3c/DI=")</f>
        <v>#REF!</v>
      </c>
      <c r="AZ9" t="e">
        <f>AND(#REF!,"AAAAAD3c/DM=")</f>
        <v>#REF!</v>
      </c>
      <c r="BA9" t="e">
        <f>AND(#REF!,"AAAAAD3c/DQ=")</f>
        <v>#REF!</v>
      </c>
      <c r="BB9" t="e">
        <f>AND(#REF!,"AAAAAD3c/DU=")</f>
        <v>#REF!</v>
      </c>
      <c r="BC9" t="e">
        <f>AND(#REF!,"AAAAAD3c/DY=")</f>
        <v>#REF!</v>
      </c>
      <c r="BD9" t="e">
        <f>AND(#REF!,"AAAAAD3c/Dc=")</f>
        <v>#REF!</v>
      </c>
      <c r="BE9" t="e">
        <f>AND(#REF!,"AAAAAD3c/Dg=")</f>
        <v>#REF!</v>
      </c>
      <c r="BF9" t="e">
        <f>AND(#REF!,"AAAAAD3c/Dk=")</f>
        <v>#REF!</v>
      </c>
      <c r="BG9" t="e">
        <f>AND(#REF!,"AAAAAD3c/Do=")</f>
        <v>#REF!</v>
      </c>
      <c r="BH9" t="e">
        <f>AND(#REF!,"AAAAAD3c/Ds=")</f>
        <v>#REF!</v>
      </c>
      <c r="BI9" t="e">
        <f>AND(#REF!,"AAAAAD3c/Dw=")</f>
        <v>#REF!</v>
      </c>
      <c r="BJ9" t="e">
        <f>IF(#REF!,"AAAAAD3c/D0=",0)</f>
        <v>#REF!</v>
      </c>
      <c r="BK9" t="e">
        <f>AND(#REF!,"AAAAAD3c/D4=")</f>
        <v>#REF!</v>
      </c>
      <c r="BL9" t="e">
        <f>AND(#REF!,"AAAAAD3c/D8=")</f>
        <v>#REF!</v>
      </c>
      <c r="BM9" t="e">
        <f>AND(#REF!,"AAAAAD3c/EA=")</f>
        <v>#REF!</v>
      </c>
      <c r="BN9" t="e">
        <f>AND(#REF!,"AAAAAD3c/EE=")</f>
        <v>#REF!</v>
      </c>
      <c r="BO9" t="e">
        <f>AND(#REF!,"AAAAAD3c/EI=")</f>
        <v>#REF!</v>
      </c>
      <c r="BP9" t="e">
        <f>AND(#REF!,"AAAAAD3c/EM=")</f>
        <v>#REF!</v>
      </c>
      <c r="BQ9" t="e">
        <f>AND(#REF!,"AAAAAD3c/EQ=")</f>
        <v>#REF!</v>
      </c>
      <c r="BR9" t="e">
        <f>AND(#REF!,"AAAAAD3c/EU=")</f>
        <v>#REF!</v>
      </c>
      <c r="BS9" t="e">
        <f>AND(#REF!,"AAAAAD3c/EY=")</f>
        <v>#REF!</v>
      </c>
      <c r="BT9" t="e">
        <f>AND(#REF!,"AAAAAD3c/Ec=")</f>
        <v>#REF!</v>
      </c>
      <c r="BU9" t="e">
        <f>AND(#REF!,"AAAAAD3c/Eg=")</f>
        <v>#REF!</v>
      </c>
      <c r="BV9" t="e">
        <f>AND(#REF!,"AAAAAD3c/Ek=")</f>
        <v>#REF!</v>
      </c>
      <c r="BW9" t="e">
        <f>IF(#REF!,"AAAAAD3c/Eo=",0)</f>
        <v>#REF!</v>
      </c>
      <c r="BX9" t="e">
        <f>AND(#REF!,"AAAAAD3c/Es=")</f>
        <v>#REF!</v>
      </c>
      <c r="BY9" t="e">
        <f>AND(#REF!,"AAAAAD3c/Ew=")</f>
        <v>#REF!</v>
      </c>
      <c r="BZ9" t="e">
        <f>AND(#REF!,"AAAAAD3c/E0=")</f>
        <v>#REF!</v>
      </c>
      <c r="CA9" t="e">
        <f>AND(#REF!,"AAAAAD3c/E4=")</f>
        <v>#REF!</v>
      </c>
      <c r="CB9" t="e">
        <f>AND(#REF!,"AAAAAD3c/E8=")</f>
        <v>#REF!</v>
      </c>
      <c r="CC9" t="e">
        <f>AND(#REF!,"AAAAAD3c/FA=")</f>
        <v>#REF!</v>
      </c>
      <c r="CD9" t="e">
        <f>AND(#REF!,"AAAAAD3c/FE=")</f>
        <v>#REF!</v>
      </c>
      <c r="CE9" t="e">
        <f>AND(#REF!,"AAAAAD3c/FI=")</f>
        <v>#REF!</v>
      </c>
      <c r="CF9" t="e">
        <f>AND(#REF!,"AAAAAD3c/FM=")</f>
        <v>#REF!</v>
      </c>
      <c r="CG9" t="e">
        <f>AND(#REF!,"AAAAAD3c/FQ=")</f>
        <v>#REF!</v>
      </c>
      <c r="CH9" t="e">
        <f>AND(#REF!,"AAAAAD3c/FU=")</f>
        <v>#REF!</v>
      </c>
      <c r="CI9" t="e">
        <f>AND(#REF!,"AAAAAD3c/FY=")</f>
        <v>#REF!</v>
      </c>
      <c r="CJ9" t="e">
        <f>IF(#REF!,"AAAAAD3c/Fc=",0)</f>
        <v>#REF!</v>
      </c>
      <c r="CK9" t="e">
        <f>AND(#REF!,"AAAAAD3c/Fg=")</f>
        <v>#REF!</v>
      </c>
      <c r="CL9" t="e">
        <f>AND(#REF!,"AAAAAD3c/Fk=")</f>
        <v>#REF!</v>
      </c>
      <c r="CM9" t="e">
        <f>AND(#REF!,"AAAAAD3c/Fo=")</f>
        <v>#REF!</v>
      </c>
      <c r="CN9" t="e">
        <f>AND(#REF!,"AAAAAD3c/Fs=")</f>
        <v>#REF!</v>
      </c>
      <c r="CO9" t="e">
        <f>AND(#REF!,"AAAAAD3c/Fw=")</f>
        <v>#REF!</v>
      </c>
      <c r="CP9" t="e">
        <f>AND(#REF!,"AAAAAD3c/F0=")</f>
        <v>#REF!</v>
      </c>
      <c r="CQ9" t="e">
        <f>AND(#REF!,"AAAAAD3c/F4=")</f>
        <v>#REF!</v>
      </c>
      <c r="CR9" t="e">
        <f>AND(#REF!,"AAAAAD3c/F8=")</f>
        <v>#REF!</v>
      </c>
      <c r="CS9" t="e">
        <f>AND(#REF!,"AAAAAD3c/GA=")</f>
        <v>#REF!</v>
      </c>
      <c r="CT9" t="e">
        <f>AND(#REF!,"AAAAAD3c/GE=")</f>
        <v>#REF!</v>
      </c>
      <c r="CU9" t="e">
        <f>AND(#REF!,"AAAAAD3c/GI=")</f>
        <v>#REF!</v>
      </c>
      <c r="CV9" t="e">
        <f>AND(#REF!,"AAAAAD3c/GM=")</f>
        <v>#REF!</v>
      </c>
      <c r="CW9" t="e">
        <f>IF(#REF!,"AAAAAD3c/GQ=",0)</f>
        <v>#REF!</v>
      </c>
      <c r="CX9" t="e">
        <f>AND(#REF!,"AAAAAD3c/GU=")</f>
        <v>#REF!</v>
      </c>
      <c r="CY9" t="e">
        <f>AND(#REF!,"AAAAAD3c/GY=")</f>
        <v>#REF!</v>
      </c>
      <c r="CZ9" t="e">
        <f>AND(#REF!,"AAAAAD3c/Gc=")</f>
        <v>#REF!</v>
      </c>
      <c r="DA9" t="e">
        <f>AND(#REF!,"AAAAAD3c/Gg=")</f>
        <v>#REF!</v>
      </c>
      <c r="DB9" t="e">
        <f>AND(#REF!,"AAAAAD3c/Gk=")</f>
        <v>#REF!</v>
      </c>
      <c r="DC9" t="e">
        <f>AND(#REF!,"AAAAAD3c/Go=")</f>
        <v>#REF!</v>
      </c>
      <c r="DD9" t="e">
        <f>AND(#REF!,"AAAAAD3c/Gs=")</f>
        <v>#REF!</v>
      </c>
      <c r="DE9" t="e">
        <f>AND(#REF!,"AAAAAD3c/Gw=")</f>
        <v>#REF!</v>
      </c>
      <c r="DF9" t="e">
        <f>AND(#REF!,"AAAAAD3c/G0=")</f>
        <v>#REF!</v>
      </c>
      <c r="DG9" t="e">
        <f>AND(#REF!,"AAAAAD3c/G4=")</f>
        <v>#REF!</v>
      </c>
      <c r="DH9" t="e">
        <f>AND(#REF!,"AAAAAD3c/G8=")</f>
        <v>#REF!</v>
      </c>
      <c r="DI9" t="e">
        <f>AND(#REF!,"AAAAAD3c/HA=")</f>
        <v>#REF!</v>
      </c>
      <c r="DJ9" t="e">
        <f>IF(#REF!,"AAAAAD3c/HE=",0)</f>
        <v>#REF!</v>
      </c>
      <c r="DK9" t="e">
        <f>AND(#REF!,"AAAAAD3c/HI=")</f>
        <v>#REF!</v>
      </c>
      <c r="DL9" t="e">
        <f>AND(#REF!,"AAAAAD3c/HM=")</f>
        <v>#REF!</v>
      </c>
      <c r="DM9" t="e">
        <f>AND(#REF!,"AAAAAD3c/HQ=")</f>
        <v>#REF!</v>
      </c>
      <c r="DN9" t="e">
        <f>AND(#REF!,"AAAAAD3c/HU=")</f>
        <v>#REF!</v>
      </c>
      <c r="DO9" t="e">
        <f>AND(#REF!,"AAAAAD3c/HY=")</f>
        <v>#REF!</v>
      </c>
      <c r="DP9" t="e">
        <f>AND(#REF!,"AAAAAD3c/Hc=")</f>
        <v>#REF!</v>
      </c>
      <c r="DQ9" t="e">
        <f>AND(#REF!,"AAAAAD3c/Hg=")</f>
        <v>#REF!</v>
      </c>
      <c r="DR9" t="e">
        <f>AND(#REF!,"AAAAAD3c/Hk=")</f>
        <v>#REF!</v>
      </c>
      <c r="DS9" t="e">
        <f>AND(#REF!,"AAAAAD3c/Ho=")</f>
        <v>#REF!</v>
      </c>
      <c r="DT9" t="e">
        <f>AND(#REF!,"AAAAAD3c/Hs=")</f>
        <v>#REF!</v>
      </c>
      <c r="DU9" t="e">
        <f>AND(#REF!,"AAAAAD3c/Hw=")</f>
        <v>#REF!</v>
      </c>
      <c r="DV9" t="e">
        <f>AND(#REF!,"AAAAAD3c/H0=")</f>
        <v>#REF!</v>
      </c>
      <c r="DW9" t="e">
        <f>IF(#REF!,"AAAAAD3c/H4=",0)</f>
        <v>#REF!</v>
      </c>
      <c r="DX9" t="e">
        <f>AND(#REF!,"AAAAAD3c/H8=")</f>
        <v>#REF!</v>
      </c>
      <c r="DY9" t="e">
        <f>AND(#REF!,"AAAAAD3c/IA=")</f>
        <v>#REF!</v>
      </c>
      <c r="DZ9" t="e">
        <f>AND(#REF!,"AAAAAD3c/IE=")</f>
        <v>#REF!</v>
      </c>
      <c r="EA9" t="e">
        <f>AND(#REF!,"AAAAAD3c/II=")</f>
        <v>#REF!</v>
      </c>
      <c r="EB9" t="e">
        <f>AND(#REF!,"AAAAAD3c/IM=")</f>
        <v>#REF!</v>
      </c>
      <c r="EC9" t="e">
        <f>AND(#REF!,"AAAAAD3c/IQ=")</f>
        <v>#REF!</v>
      </c>
      <c r="ED9" t="e">
        <f>AND(#REF!,"AAAAAD3c/IU=")</f>
        <v>#REF!</v>
      </c>
      <c r="EE9" t="e">
        <f>AND(#REF!,"AAAAAD3c/IY=")</f>
        <v>#REF!</v>
      </c>
      <c r="EF9" t="e">
        <f>AND(#REF!,"AAAAAD3c/Ic=")</f>
        <v>#REF!</v>
      </c>
      <c r="EG9" t="e">
        <f>AND(#REF!,"AAAAAD3c/Ig=")</f>
        <v>#REF!</v>
      </c>
      <c r="EH9" t="e">
        <f>AND(#REF!,"AAAAAD3c/Ik=")</f>
        <v>#REF!</v>
      </c>
      <c r="EI9" t="e">
        <f>AND(#REF!,"AAAAAD3c/Io=")</f>
        <v>#REF!</v>
      </c>
      <c r="EJ9" t="e">
        <f>IF(#REF!,"AAAAAD3c/Is=",0)</f>
        <v>#REF!</v>
      </c>
      <c r="EK9" t="e">
        <f>AND(#REF!,"AAAAAD3c/Iw=")</f>
        <v>#REF!</v>
      </c>
      <c r="EL9" t="e">
        <f>AND(#REF!,"AAAAAD3c/I0=")</f>
        <v>#REF!</v>
      </c>
      <c r="EM9" t="e">
        <f>AND(#REF!,"AAAAAD3c/I4=")</f>
        <v>#REF!</v>
      </c>
      <c r="EN9" t="e">
        <f>AND(#REF!,"AAAAAD3c/I8=")</f>
        <v>#REF!</v>
      </c>
      <c r="EO9" t="e">
        <f>AND(#REF!,"AAAAAD3c/JA=")</f>
        <v>#REF!</v>
      </c>
      <c r="EP9" t="e">
        <f>AND(#REF!,"AAAAAD3c/JE=")</f>
        <v>#REF!</v>
      </c>
      <c r="EQ9" t="e">
        <f>AND(#REF!,"AAAAAD3c/JI=")</f>
        <v>#REF!</v>
      </c>
      <c r="ER9" t="e">
        <f>AND(#REF!,"AAAAAD3c/JM=")</f>
        <v>#REF!</v>
      </c>
      <c r="ES9" t="e">
        <f>AND(#REF!,"AAAAAD3c/JQ=")</f>
        <v>#REF!</v>
      </c>
      <c r="ET9" t="e">
        <f>AND(#REF!,"AAAAAD3c/JU=")</f>
        <v>#REF!</v>
      </c>
      <c r="EU9" t="e">
        <f>AND(#REF!,"AAAAAD3c/JY=")</f>
        <v>#REF!</v>
      </c>
      <c r="EV9" t="e">
        <f>AND(#REF!,"AAAAAD3c/Jc=")</f>
        <v>#REF!</v>
      </c>
      <c r="EW9" t="e">
        <f>IF(#REF!,"AAAAAD3c/Jg=",0)</f>
        <v>#REF!</v>
      </c>
      <c r="EX9" t="e">
        <f>AND(#REF!,"AAAAAD3c/Jk=")</f>
        <v>#REF!</v>
      </c>
      <c r="EY9" t="e">
        <f>AND(#REF!,"AAAAAD3c/Jo=")</f>
        <v>#REF!</v>
      </c>
      <c r="EZ9" t="e">
        <f>AND(#REF!,"AAAAAD3c/Js=")</f>
        <v>#REF!</v>
      </c>
      <c r="FA9" t="e">
        <f>AND(#REF!,"AAAAAD3c/Jw=")</f>
        <v>#REF!</v>
      </c>
      <c r="FB9" t="e">
        <f>AND(#REF!,"AAAAAD3c/J0=")</f>
        <v>#REF!</v>
      </c>
      <c r="FC9" t="e">
        <f>AND(#REF!,"AAAAAD3c/J4=")</f>
        <v>#REF!</v>
      </c>
      <c r="FD9" t="e">
        <f>AND(#REF!,"AAAAAD3c/J8=")</f>
        <v>#REF!</v>
      </c>
      <c r="FE9" t="e">
        <f>AND(#REF!,"AAAAAD3c/KA=")</f>
        <v>#REF!</v>
      </c>
      <c r="FF9" t="e">
        <f>AND(#REF!,"AAAAAD3c/KE=")</f>
        <v>#REF!</v>
      </c>
      <c r="FG9" t="e">
        <f>AND(#REF!,"AAAAAD3c/KI=")</f>
        <v>#REF!</v>
      </c>
      <c r="FH9" t="e">
        <f>AND(#REF!,"AAAAAD3c/KM=")</f>
        <v>#REF!</v>
      </c>
      <c r="FI9" t="e">
        <f>AND(#REF!,"AAAAAD3c/KQ=")</f>
        <v>#REF!</v>
      </c>
      <c r="FJ9" t="e">
        <f>IF(#REF!,"AAAAAD3c/KU=",0)</f>
        <v>#REF!</v>
      </c>
      <c r="FK9" t="e">
        <f>AND(#REF!,"AAAAAD3c/KY=")</f>
        <v>#REF!</v>
      </c>
      <c r="FL9" t="e">
        <f>AND(#REF!,"AAAAAD3c/Kc=")</f>
        <v>#REF!</v>
      </c>
      <c r="FM9" t="e">
        <f>AND(#REF!,"AAAAAD3c/Kg=")</f>
        <v>#REF!</v>
      </c>
      <c r="FN9" t="e">
        <f>AND(#REF!,"AAAAAD3c/Kk=")</f>
        <v>#REF!</v>
      </c>
      <c r="FO9" t="e">
        <f>AND(#REF!,"AAAAAD3c/Ko=")</f>
        <v>#REF!</v>
      </c>
      <c r="FP9" t="e">
        <f>AND(#REF!,"AAAAAD3c/Ks=")</f>
        <v>#REF!</v>
      </c>
      <c r="FQ9" t="e">
        <f>AND(#REF!,"AAAAAD3c/Kw=")</f>
        <v>#REF!</v>
      </c>
      <c r="FR9" t="e">
        <f>AND(#REF!,"AAAAAD3c/K0=")</f>
        <v>#REF!</v>
      </c>
      <c r="FS9" t="e">
        <f>AND(#REF!,"AAAAAD3c/K4=")</f>
        <v>#REF!</v>
      </c>
      <c r="FT9" t="e">
        <f>AND(#REF!,"AAAAAD3c/K8=")</f>
        <v>#REF!</v>
      </c>
      <c r="FU9" t="e">
        <f>AND(#REF!,"AAAAAD3c/LA=")</f>
        <v>#REF!</v>
      </c>
      <c r="FV9" t="e">
        <f>AND(#REF!,"AAAAAD3c/LE=")</f>
        <v>#REF!</v>
      </c>
      <c r="FW9" t="e">
        <f>IF(#REF!,"AAAAAD3c/LI=",0)</f>
        <v>#REF!</v>
      </c>
      <c r="FX9" t="e">
        <f>AND(#REF!,"AAAAAD3c/LM=")</f>
        <v>#REF!</v>
      </c>
      <c r="FY9" t="e">
        <f>AND(#REF!,"AAAAAD3c/LQ=")</f>
        <v>#REF!</v>
      </c>
      <c r="FZ9" t="e">
        <f>AND(#REF!,"AAAAAD3c/LU=")</f>
        <v>#REF!</v>
      </c>
      <c r="GA9" t="e">
        <f>AND(#REF!,"AAAAAD3c/LY=")</f>
        <v>#REF!</v>
      </c>
      <c r="GB9" t="e">
        <f>AND(#REF!,"AAAAAD3c/Lc=")</f>
        <v>#REF!</v>
      </c>
      <c r="GC9" t="e">
        <f>AND(#REF!,"AAAAAD3c/Lg=")</f>
        <v>#REF!</v>
      </c>
      <c r="GD9" t="e">
        <f>AND(#REF!,"AAAAAD3c/Lk=")</f>
        <v>#REF!</v>
      </c>
      <c r="GE9" t="e">
        <f>AND(#REF!,"AAAAAD3c/Lo=")</f>
        <v>#REF!</v>
      </c>
      <c r="GF9" t="e">
        <f>AND(#REF!,"AAAAAD3c/Ls=")</f>
        <v>#REF!</v>
      </c>
      <c r="GG9" t="e">
        <f>AND(#REF!,"AAAAAD3c/Lw=")</f>
        <v>#REF!</v>
      </c>
      <c r="GH9" t="e">
        <f>AND(#REF!,"AAAAAD3c/L0=")</f>
        <v>#REF!</v>
      </c>
      <c r="GI9" t="e">
        <f>AND(#REF!,"AAAAAD3c/L4=")</f>
        <v>#REF!</v>
      </c>
      <c r="GJ9" t="e">
        <f>IF(#REF!,"AAAAAD3c/L8=",0)</f>
        <v>#REF!</v>
      </c>
      <c r="GK9" t="e">
        <f>AND(#REF!,"AAAAAD3c/MA=")</f>
        <v>#REF!</v>
      </c>
      <c r="GL9" t="e">
        <f>AND(#REF!,"AAAAAD3c/ME=")</f>
        <v>#REF!</v>
      </c>
      <c r="GM9" t="e">
        <f>AND(#REF!,"AAAAAD3c/MI=")</f>
        <v>#REF!</v>
      </c>
      <c r="GN9" t="e">
        <f>AND(#REF!,"AAAAAD3c/MM=")</f>
        <v>#REF!</v>
      </c>
      <c r="GO9" t="e">
        <f>AND(#REF!,"AAAAAD3c/MQ=")</f>
        <v>#REF!</v>
      </c>
      <c r="GP9" t="e">
        <f>AND(#REF!,"AAAAAD3c/MU=")</f>
        <v>#REF!</v>
      </c>
      <c r="GQ9" t="e">
        <f>AND(#REF!,"AAAAAD3c/MY=")</f>
        <v>#REF!</v>
      </c>
      <c r="GR9" t="e">
        <f>AND(#REF!,"AAAAAD3c/Mc=")</f>
        <v>#REF!</v>
      </c>
      <c r="GS9" t="e">
        <f>AND(#REF!,"AAAAAD3c/Mg=")</f>
        <v>#REF!</v>
      </c>
      <c r="GT9" t="e">
        <f>AND(#REF!,"AAAAAD3c/Mk=")</f>
        <v>#REF!</v>
      </c>
      <c r="GU9" t="e">
        <f>AND(#REF!,"AAAAAD3c/Mo=")</f>
        <v>#REF!</v>
      </c>
      <c r="GV9" t="e">
        <f>AND(#REF!,"AAAAAD3c/Ms=")</f>
        <v>#REF!</v>
      </c>
      <c r="GW9" t="e">
        <f>IF(#REF!,"AAAAAD3c/Mw=",0)</f>
        <v>#REF!</v>
      </c>
      <c r="GX9" t="e">
        <f>AND(#REF!,"AAAAAD3c/M0=")</f>
        <v>#REF!</v>
      </c>
      <c r="GY9" t="e">
        <f>AND(#REF!,"AAAAAD3c/M4=")</f>
        <v>#REF!</v>
      </c>
      <c r="GZ9" t="e">
        <f>AND(#REF!,"AAAAAD3c/M8=")</f>
        <v>#REF!</v>
      </c>
      <c r="HA9" t="e">
        <f>AND(#REF!,"AAAAAD3c/NA=")</f>
        <v>#REF!</v>
      </c>
      <c r="HB9" t="e">
        <f>AND(#REF!,"AAAAAD3c/NE=")</f>
        <v>#REF!</v>
      </c>
      <c r="HC9" t="e">
        <f>AND(#REF!,"AAAAAD3c/NI=")</f>
        <v>#REF!</v>
      </c>
      <c r="HD9" t="e">
        <f>AND(#REF!,"AAAAAD3c/NM=")</f>
        <v>#REF!</v>
      </c>
      <c r="HE9" t="e">
        <f>AND(#REF!,"AAAAAD3c/NQ=")</f>
        <v>#REF!</v>
      </c>
      <c r="HF9" t="e">
        <f>AND(#REF!,"AAAAAD3c/NU=")</f>
        <v>#REF!</v>
      </c>
      <c r="HG9" t="e">
        <f>AND(#REF!,"AAAAAD3c/NY=")</f>
        <v>#REF!</v>
      </c>
      <c r="HH9" t="e">
        <f>AND(#REF!,"AAAAAD3c/Nc=")</f>
        <v>#REF!</v>
      </c>
      <c r="HI9" t="e">
        <f>AND(#REF!,"AAAAAD3c/Ng=")</f>
        <v>#REF!</v>
      </c>
      <c r="HJ9" t="e">
        <f>IF(#REF!,"AAAAAD3c/Nk=",0)</f>
        <v>#REF!</v>
      </c>
      <c r="HK9" t="e">
        <f>AND(#REF!,"AAAAAD3c/No=")</f>
        <v>#REF!</v>
      </c>
      <c r="HL9" t="e">
        <f>AND(#REF!,"AAAAAD3c/Ns=")</f>
        <v>#REF!</v>
      </c>
      <c r="HM9" t="e">
        <f>AND(#REF!,"AAAAAD3c/Nw=")</f>
        <v>#REF!</v>
      </c>
      <c r="HN9" t="e">
        <f>AND(#REF!,"AAAAAD3c/N0=")</f>
        <v>#REF!</v>
      </c>
      <c r="HO9" t="e">
        <f>AND(#REF!,"AAAAAD3c/N4=")</f>
        <v>#REF!</v>
      </c>
      <c r="HP9" t="e">
        <f>AND(#REF!,"AAAAAD3c/N8=")</f>
        <v>#REF!</v>
      </c>
      <c r="HQ9" t="e">
        <f>AND(#REF!,"AAAAAD3c/OA=")</f>
        <v>#REF!</v>
      </c>
      <c r="HR9" t="e">
        <f>AND(#REF!,"AAAAAD3c/OE=")</f>
        <v>#REF!</v>
      </c>
      <c r="HS9" t="e">
        <f>AND(#REF!,"AAAAAD3c/OI=")</f>
        <v>#REF!</v>
      </c>
      <c r="HT9" t="e">
        <f>AND(#REF!,"AAAAAD3c/OM=")</f>
        <v>#REF!</v>
      </c>
      <c r="HU9" t="e">
        <f>AND(#REF!,"AAAAAD3c/OQ=")</f>
        <v>#REF!</v>
      </c>
      <c r="HV9" t="e">
        <f>AND(#REF!,"AAAAAD3c/OU=")</f>
        <v>#REF!</v>
      </c>
      <c r="HW9" t="e">
        <f>IF(#REF!,"AAAAAD3c/OY=",0)</f>
        <v>#REF!</v>
      </c>
      <c r="HX9" t="e">
        <f>AND(#REF!,"AAAAAD3c/Oc=")</f>
        <v>#REF!</v>
      </c>
      <c r="HY9" t="e">
        <f>AND(#REF!,"AAAAAD3c/Og=")</f>
        <v>#REF!</v>
      </c>
      <c r="HZ9" t="e">
        <f>AND(#REF!,"AAAAAD3c/Ok=")</f>
        <v>#REF!</v>
      </c>
      <c r="IA9" t="e">
        <f>AND(#REF!,"AAAAAD3c/Oo=")</f>
        <v>#REF!</v>
      </c>
      <c r="IB9" t="e">
        <f>AND(#REF!,"AAAAAD3c/Os=")</f>
        <v>#REF!</v>
      </c>
      <c r="IC9" t="e">
        <f>AND(#REF!,"AAAAAD3c/Ow=")</f>
        <v>#REF!</v>
      </c>
      <c r="ID9" t="e">
        <f>AND(#REF!,"AAAAAD3c/O0=")</f>
        <v>#REF!</v>
      </c>
      <c r="IE9" t="e">
        <f>AND(#REF!,"AAAAAD3c/O4=")</f>
        <v>#REF!</v>
      </c>
      <c r="IF9" t="e">
        <f>AND(#REF!,"AAAAAD3c/O8=")</f>
        <v>#REF!</v>
      </c>
      <c r="IG9" t="e">
        <f>AND(#REF!,"AAAAAD3c/PA=")</f>
        <v>#REF!</v>
      </c>
      <c r="IH9" t="e">
        <f>AND(#REF!,"AAAAAD3c/PE=")</f>
        <v>#REF!</v>
      </c>
      <c r="II9" t="e">
        <f>AND(#REF!,"AAAAAD3c/PI=")</f>
        <v>#REF!</v>
      </c>
      <c r="IJ9" t="e">
        <f>IF(#REF!,"AAAAAD3c/PM=",0)</f>
        <v>#REF!</v>
      </c>
      <c r="IK9" t="e">
        <f>AND(#REF!,"AAAAAD3c/PQ=")</f>
        <v>#REF!</v>
      </c>
      <c r="IL9" t="e">
        <f>AND(#REF!,"AAAAAD3c/PU=")</f>
        <v>#REF!</v>
      </c>
      <c r="IM9" t="e">
        <f>AND(#REF!,"AAAAAD3c/PY=")</f>
        <v>#REF!</v>
      </c>
      <c r="IN9" t="e">
        <f>AND(#REF!,"AAAAAD3c/Pc=")</f>
        <v>#REF!</v>
      </c>
      <c r="IO9" t="e">
        <f>AND(#REF!,"AAAAAD3c/Pg=")</f>
        <v>#REF!</v>
      </c>
      <c r="IP9" t="e">
        <f>AND(#REF!,"AAAAAD3c/Pk=")</f>
        <v>#REF!</v>
      </c>
      <c r="IQ9" t="e">
        <f>AND(#REF!,"AAAAAD3c/Po=")</f>
        <v>#REF!</v>
      </c>
      <c r="IR9" t="e">
        <f>AND(#REF!,"AAAAAD3c/Ps=")</f>
        <v>#REF!</v>
      </c>
      <c r="IS9" t="e">
        <f>AND(#REF!,"AAAAAD3c/Pw=")</f>
        <v>#REF!</v>
      </c>
      <c r="IT9" t="e">
        <f>AND(#REF!,"AAAAAD3c/P0=")</f>
        <v>#REF!</v>
      </c>
      <c r="IU9" t="e">
        <f>AND(#REF!,"AAAAAD3c/P4=")</f>
        <v>#REF!</v>
      </c>
      <c r="IV9" t="e">
        <f>AND(#REF!,"AAAAAD3c/P8=")</f>
        <v>#REF!</v>
      </c>
    </row>
    <row r="10" spans="1:256">
      <c r="A10" t="e">
        <f>IF(#REF!,"AAAAAHu37gA=",0)</f>
        <v>#REF!</v>
      </c>
      <c r="B10" t="e">
        <f>AND(#REF!,"AAAAAHu37gE=")</f>
        <v>#REF!</v>
      </c>
      <c r="C10" t="e">
        <f>AND(#REF!,"AAAAAHu37gI=")</f>
        <v>#REF!</v>
      </c>
      <c r="D10" t="e">
        <f>AND(#REF!,"AAAAAHu37gM=")</f>
        <v>#REF!</v>
      </c>
      <c r="E10" t="e">
        <f>AND(#REF!,"AAAAAHu37gQ=")</f>
        <v>#REF!</v>
      </c>
      <c r="F10" t="e">
        <f>AND(#REF!,"AAAAAHu37gU=")</f>
        <v>#REF!</v>
      </c>
      <c r="G10" t="e">
        <f>AND(#REF!,"AAAAAHu37gY=")</f>
        <v>#REF!</v>
      </c>
      <c r="H10" t="e">
        <f>AND(#REF!,"AAAAAHu37gc=")</f>
        <v>#REF!</v>
      </c>
      <c r="I10" t="e">
        <f>AND(#REF!,"AAAAAHu37gg=")</f>
        <v>#REF!</v>
      </c>
      <c r="J10" t="e">
        <f>AND(#REF!,"AAAAAHu37gk=")</f>
        <v>#REF!</v>
      </c>
      <c r="K10" t="e">
        <f>AND(#REF!,"AAAAAHu37go=")</f>
        <v>#REF!</v>
      </c>
      <c r="L10" t="e">
        <f>AND(#REF!,"AAAAAHu37gs=")</f>
        <v>#REF!</v>
      </c>
      <c r="M10" t="e">
        <f>AND(#REF!,"AAAAAHu37gw=")</f>
        <v>#REF!</v>
      </c>
      <c r="N10" t="e">
        <f>IF(#REF!,"AAAAAHu37g0=",0)</f>
        <v>#REF!</v>
      </c>
      <c r="O10" t="e">
        <f>AND(#REF!,"AAAAAHu37g4=")</f>
        <v>#REF!</v>
      </c>
      <c r="P10" t="e">
        <f>AND(#REF!,"AAAAAHu37g8=")</f>
        <v>#REF!</v>
      </c>
      <c r="Q10" t="e">
        <f>AND(#REF!,"AAAAAHu37hA=")</f>
        <v>#REF!</v>
      </c>
      <c r="R10" t="e">
        <f>AND(#REF!,"AAAAAHu37hE=")</f>
        <v>#REF!</v>
      </c>
      <c r="S10" t="e">
        <f>AND(#REF!,"AAAAAHu37hI=")</f>
        <v>#REF!</v>
      </c>
      <c r="T10" t="e">
        <f>AND(#REF!,"AAAAAHu37hM=")</f>
        <v>#REF!</v>
      </c>
      <c r="U10" t="e">
        <f>AND(#REF!,"AAAAAHu37hQ=")</f>
        <v>#REF!</v>
      </c>
      <c r="V10" t="e">
        <f>AND(#REF!,"AAAAAHu37hU=")</f>
        <v>#REF!</v>
      </c>
      <c r="W10" t="e">
        <f>AND(#REF!,"AAAAAHu37hY=")</f>
        <v>#REF!</v>
      </c>
      <c r="X10" t="e">
        <f>AND(#REF!,"AAAAAHu37hc=")</f>
        <v>#REF!</v>
      </c>
      <c r="Y10" t="e">
        <f>AND(#REF!,"AAAAAHu37hg=")</f>
        <v>#REF!</v>
      </c>
      <c r="Z10" t="e">
        <f>AND(#REF!,"AAAAAHu37hk=")</f>
        <v>#REF!</v>
      </c>
      <c r="AA10" t="e">
        <f>IF(#REF!,"AAAAAHu37ho=",0)</f>
        <v>#REF!</v>
      </c>
      <c r="AB10" t="e">
        <f>AND(#REF!,"AAAAAHu37hs=")</f>
        <v>#REF!</v>
      </c>
      <c r="AC10" t="e">
        <f>AND(#REF!,"AAAAAHu37hw=")</f>
        <v>#REF!</v>
      </c>
      <c r="AD10" t="e">
        <f>AND(#REF!,"AAAAAHu37h0=")</f>
        <v>#REF!</v>
      </c>
      <c r="AE10" t="e">
        <f>AND(#REF!,"AAAAAHu37h4=")</f>
        <v>#REF!</v>
      </c>
      <c r="AF10" t="e">
        <f>AND(#REF!,"AAAAAHu37h8=")</f>
        <v>#REF!</v>
      </c>
      <c r="AG10" t="e">
        <f>AND(#REF!,"AAAAAHu37iA=")</f>
        <v>#REF!</v>
      </c>
      <c r="AH10" t="e">
        <f>AND(#REF!,"AAAAAHu37iE=")</f>
        <v>#REF!</v>
      </c>
      <c r="AI10" t="e">
        <f>AND(#REF!,"AAAAAHu37iI=")</f>
        <v>#REF!</v>
      </c>
      <c r="AJ10" t="e">
        <f>AND(#REF!,"AAAAAHu37iM=")</f>
        <v>#REF!</v>
      </c>
      <c r="AK10" t="e">
        <f>AND(#REF!,"AAAAAHu37iQ=")</f>
        <v>#REF!</v>
      </c>
      <c r="AL10" t="e">
        <f>AND(#REF!,"AAAAAHu37iU=")</f>
        <v>#REF!</v>
      </c>
      <c r="AM10" t="e">
        <f>AND(#REF!,"AAAAAHu37iY=")</f>
        <v>#REF!</v>
      </c>
      <c r="AN10" t="e">
        <f>IF(#REF!,"AAAAAHu37ic=",0)</f>
        <v>#REF!</v>
      </c>
      <c r="AO10" t="e">
        <f>AND(#REF!,"AAAAAHu37ig=")</f>
        <v>#REF!</v>
      </c>
      <c r="AP10" t="e">
        <f>AND(#REF!,"AAAAAHu37ik=")</f>
        <v>#REF!</v>
      </c>
      <c r="AQ10" t="e">
        <f>AND(#REF!,"AAAAAHu37io=")</f>
        <v>#REF!</v>
      </c>
      <c r="AR10" t="e">
        <f>AND(#REF!,"AAAAAHu37is=")</f>
        <v>#REF!</v>
      </c>
      <c r="AS10" t="e">
        <f>AND(#REF!,"AAAAAHu37iw=")</f>
        <v>#REF!</v>
      </c>
      <c r="AT10" t="e">
        <f>AND(#REF!,"AAAAAHu37i0=")</f>
        <v>#REF!</v>
      </c>
      <c r="AU10" t="e">
        <f>AND(#REF!,"AAAAAHu37i4=")</f>
        <v>#REF!</v>
      </c>
      <c r="AV10" t="e">
        <f>AND(#REF!,"AAAAAHu37i8=")</f>
        <v>#REF!</v>
      </c>
      <c r="AW10" t="e">
        <f>AND(#REF!,"AAAAAHu37jA=")</f>
        <v>#REF!</v>
      </c>
      <c r="AX10" t="e">
        <f>AND(#REF!,"AAAAAHu37jE=")</f>
        <v>#REF!</v>
      </c>
      <c r="AY10" t="e">
        <f>AND(#REF!,"AAAAAHu37jI=")</f>
        <v>#REF!</v>
      </c>
      <c r="AZ10" t="e">
        <f>AND(#REF!,"AAAAAHu37jM=")</f>
        <v>#REF!</v>
      </c>
      <c r="BA10" t="e">
        <f>IF(#REF!,"AAAAAHu37jQ=",0)</f>
        <v>#REF!</v>
      </c>
      <c r="BB10" t="e">
        <f>AND(#REF!,"AAAAAHu37jU=")</f>
        <v>#REF!</v>
      </c>
      <c r="BC10" t="e">
        <f>AND(#REF!,"AAAAAHu37jY=")</f>
        <v>#REF!</v>
      </c>
      <c r="BD10" t="e">
        <f>AND(#REF!,"AAAAAHu37jc=")</f>
        <v>#REF!</v>
      </c>
      <c r="BE10" t="e">
        <f>AND(#REF!,"AAAAAHu37jg=")</f>
        <v>#REF!</v>
      </c>
      <c r="BF10" t="e">
        <f>AND(#REF!,"AAAAAHu37jk=")</f>
        <v>#REF!</v>
      </c>
      <c r="BG10" t="e">
        <f>AND(#REF!,"AAAAAHu37jo=")</f>
        <v>#REF!</v>
      </c>
      <c r="BH10" t="e">
        <f>AND(#REF!,"AAAAAHu37js=")</f>
        <v>#REF!</v>
      </c>
      <c r="BI10" t="e">
        <f>AND(#REF!,"AAAAAHu37jw=")</f>
        <v>#REF!</v>
      </c>
      <c r="BJ10" t="e">
        <f>AND(#REF!,"AAAAAHu37j0=")</f>
        <v>#REF!</v>
      </c>
      <c r="BK10" t="e">
        <f>AND(#REF!,"AAAAAHu37j4=")</f>
        <v>#REF!</v>
      </c>
      <c r="BL10" t="e">
        <f>AND(#REF!,"AAAAAHu37j8=")</f>
        <v>#REF!</v>
      </c>
      <c r="BM10" t="e">
        <f>AND(#REF!,"AAAAAHu37kA=")</f>
        <v>#REF!</v>
      </c>
      <c r="BN10" t="e">
        <f>IF(#REF!,"AAAAAHu37kE=",0)</f>
        <v>#REF!</v>
      </c>
      <c r="BO10" t="e">
        <f>AND(#REF!,"AAAAAHu37kI=")</f>
        <v>#REF!</v>
      </c>
      <c r="BP10" t="e">
        <f>AND(#REF!,"AAAAAHu37kM=")</f>
        <v>#REF!</v>
      </c>
      <c r="BQ10" t="e">
        <f>AND(#REF!,"AAAAAHu37kQ=")</f>
        <v>#REF!</v>
      </c>
      <c r="BR10" t="e">
        <f>AND(#REF!,"AAAAAHu37kU=")</f>
        <v>#REF!</v>
      </c>
      <c r="BS10" t="e">
        <f>AND(#REF!,"AAAAAHu37kY=")</f>
        <v>#REF!</v>
      </c>
      <c r="BT10" t="e">
        <f>AND(#REF!,"AAAAAHu37kc=")</f>
        <v>#REF!</v>
      </c>
      <c r="BU10" t="e">
        <f>AND(#REF!,"AAAAAHu37kg=")</f>
        <v>#REF!</v>
      </c>
      <c r="BV10" t="e">
        <f>AND(#REF!,"AAAAAHu37kk=")</f>
        <v>#REF!</v>
      </c>
      <c r="BW10" t="e">
        <f>AND(#REF!,"AAAAAHu37ko=")</f>
        <v>#REF!</v>
      </c>
      <c r="BX10" t="e">
        <f>AND(#REF!,"AAAAAHu37ks=")</f>
        <v>#REF!</v>
      </c>
      <c r="BY10" t="e">
        <f>AND(#REF!,"AAAAAHu37kw=")</f>
        <v>#REF!</v>
      </c>
      <c r="BZ10" t="e">
        <f>AND(#REF!,"AAAAAHu37k0=")</f>
        <v>#REF!</v>
      </c>
      <c r="CA10" t="e">
        <f>IF(#REF!,"AAAAAHu37k4=",0)</f>
        <v>#REF!</v>
      </c>
      <c r="CB10" t="e">
        <f>AND(#REF!,"AAAAAHu37k8=")</f>
        <v>#REF!</v>
      </c>
      <c r="CC10" t="e">
        <f>AND(#REF!,"AAAAAHu37lA=")</f>
        <v>#REF!</v>
      </c>
      <c r="CD10" t="e">
        <f>AND(#REF!,"AAAAAHu37lE=")</f>
        <v>#REF!</v>
      </c>
      <c r="CE10" t="e">
        <f>AND(#REF!,"AAAAAHu37lI=")</f>
        <v>#REF!</v>
      </c>
      <c r="CF10" t="e">
        <f>AND(#REF!,"AAAAAHu37lM=")</f>
        <v>#REF!</v>
      </c>
      <c r="CG10" t="e">
        <f>AND(#REF!,"AAAAAHu37lQ=")</f>
        <v>#REF!</v>
      </c>
      <c r="CH10" t="e">
        <f>AND(#REF!,"AAAAAHu37lU=")</f>
        <v>#REF!</v>
      </c>
      <c r="CI10" t="e">
        <f>AND(#REF!,"AAAAAHu37lY=")</f>
        <v>#REF!</v>
      </c>
      <c r="CJ10" t="e">
        <f>AND(#REF!,"AAAAAHu37lc=")</f>
        <v>#REF!</v>
      </c>
      <c r="CK10" t="e">
        <f>AND(#REF!,"AAAAAHu37lg=")</f>
        <v>#REF!</v>
      </c>
      <c r="CL10" t="e">
        <f>AND(#REF!,"AAAAAHu37lk=")</f>
        <v>#REF!</v>
      </c>
      <c r="CM10" t="e">
        <f>AND(#REF!,"AAAAAHu37lo=")</f>
        <v>#REF!</v>
      </c>
      <c r="CN10" t="e">
        <f>IF(#REF!,"AAAAAHu37ls=",0)</f>
        <v>#REF!</v>
      </c>
      <c r="CO10" t="e">
        <f>AND(#REF!,"AAAAAHu37lw=")</f>
        <v>#REF!</v>
      </c>
      <c r="CP10" t="e">
        <f>AND(#REF!,"AAAAAHu37l0=")</f>
        <v>#REF!</v>
      </c>
      <c r="CQ10" t="e">
        <f>AND(#REF!,"AAAAAHu37l4=")</f>
        <v>#REF!</v>
      </c>
      <c r="CR10" t="e">
        <f>AND(#REF!,"AAAAAHu37l8=")</f>
        <v>#REF!</v>
      </c>
      <c r="CS10" t="e">
        <f>AND(#REF!,"AAAAAHu37mA=")</f>
        <v>#REF!</v>
      </c>
      <c r="CT10" t="e">
        <f>AND(#REF!,"AAAAAHu37mE=")</f>
        <v>#REF!</v>
      </c>
      <c r="CU10" t="e">
        <f>AND(#REF!,"AAAAAHu37mI=")</f>
        <v>#REF!</v>
      </c>
      <c r="CV10" t="e">
        <f>AND(#REF!,"AAAAAHu37mM=")</f>
        <v>#REF!</v>
      </c>
      <c r="CW10" t="e">
        <f>AND(#REF!,"AAAAAHu37mQ=")</f>
        <v>#REF!</v>
      </c>
      <c r="CX10" t="e">
        <f>AND(#REF!,"AAAAAHu37mU=")</f>
        <v>#REF!</v>
      </c>
      <c r="CY10" t="e">
        <f>AND(#REF!,"AAAAAHu37mY=")</f>
        <v>#REF!</v>
      </c>
      <c r="CZ10" t="e">
        <f>AND(#REF!,"AAAAAHu37mc=")</f>
        <v>#REF!</v>
      </c>
      <c r="DA10" t="e">
        <f>IF(#REF!,"AAAAAHu37mg=",0)</f>
        <v>#REF!</v>
      </c>
      <c r="DB10" t="e">
        <f>AND(#REF!,"AAAAAHu37mk=")</f>
        <v>#REF!</v>
      </c>
      <c r="DC10" t="e">
        <f>AND(#REF!,"AAAAAHu37mo=")</f>
        <v>#REF!</v>
      </c>
      <c r="DD10" t="e">
        <f>AND(#REF!,"AAAAAHu37ms=")</f>
        <v>#REF!</v>
      </c>
      <c r="DE10" t="e">
        <f>AND(#REF!,"AAAAAHu37mw=")</f>
        <v>#REF!</v>
      </c>
      <c r="DF10" t="e">
        <f>AND(#REF!,"AAAAAHu37m0=")</f>
        <v>#REF!</v>
      </c>
      <c r="DG10" t="e">
        <f>AND(#REF!,"AAAAAHu37m4=")</f>
        <v>#REF!</v>
      </c>
      <c r="DH10" t="e">
        <f>AND(#REF!,"AAAAAHu37m8=")</f>
        <v>#REF!</v>
      </c>
      <c r="DI10" t="e">
        <f>AND(#REF!,"AAAAAHu37nA=")</f>
        <v>#REF!</v>
      </c>
      <c r="DJ10" t="e">
        <f>AND(#REF!,"AAAAAHu37nE=")</f>
        <v>#REF!</v>
      </c>
      <c r="DK10" t="e">
        <f>AND(#REF!,"AAAAAHu37nI=")</f>
        <v>#REF!</v>
      </c>
      <c r="DL10" t="e">
        <f>AND(#REF!,"AAAAAHu37nM=")</f>
        <v>#REF!</v>
      </c>
      <c r="DM10" t="e">
        <f>AND(#REF!,"AAAAAHu37nQ=")</f>
        <v>#REF!</v>
      </c>
      <c r="DN10" t="e">
        <f>IF(#REF!,"AAAAAHu37nU=",0)</f>
        <v>#REF!</v>
      </c>
      <c r="DO10" t="e">
        <f>AND(#REF!,"AAAAAHu37nY=")</f>
        <v>#REF!</v>
      </c>
      <c r="DP10" t="e">
        <f>AND(#REF!,"AAAAAHu37nc=")</f>
        <v>#REF!</v>
      </c>
      <c r="DQ10" t="e">
        <f>AND(#REF!,"AAAAAHu37ng=")</f>
        <v>#REF!</v>
      </c>
      <c r="DR10" t="e">
        <f>AND(#REF!,"AAAAAHu37nk=")</f>
        <v>#REF!</v>
      </c>
      <c r="DS10" t="e">
        <f>AND(#REF!,"AAAAAHu37no=")</f>
        <v>#REF!</v>
      </c>
      <c r="DT10" t="e">
        <f>AND(#REF!,"AAAAAHu37ns=")</f>
        <v>#REF!</v>
      </c>
      <c r="DU10" t="e">
        <f>AND(#REF!,"AAAAAHu37nw=")</f>
        <v>#REF!</v>
      </c>
      <c r="DV10" t="e">
        <f>AND(#REF!,"AAAAAHu37n0=")</f>
        <v>#REF!</v>
      </c>
      <c r="DW10" t="e">
        <f>AND(#REF!,"AAAAAHu37n4=")</f>
        <v>#REF!</v>
      </c>
      <c r="DX10" t="e">
        <f>AND(#REF!,"AAAAAHu37n8=")</f>
        <v>#REF!</v>
      </c>
      <c r="DY10" t="e">
        <f>AND(#REF!,"AAAAAHu37oA=")</f>
        <v>#REF!</v>
      </c>
      <c r="DZ10" t="e">
        <f>AND(#REF!,"AAAAAHu37oE=")</f>
        <v>#REF!</v>
      </c>
      <c r="EA10" t="e">
        <f>IF(#REF!,"AAAAAHu37oI=",0)</f>
        <v>#REF!</v>
      </c>
      <c r="EB10" t="e">
        <f>AND(#REF!,"AAAAAHu37oM=")</f>
        <v>#REF!</v>
      </c>
      <c r="EC10" t="e">
        <f>AND(#REF!,"AAAAAHu37oQ=")</f>
        <v>#REF!</v>
      </c>
      <c r="ED10" t="e">
        <f>AND(#REF!,"AAAAAHu37oU=")</f>
        <v>#REF!</v>
      </c>
      <c r="EE10" t="e">
        <f>AND(#REF!,"AAAAAHu37oY=")</f>
        <v>#REF!</v>
      </c>
      <c r="EF10" t="e">
        <f>AND(#REF!,"AAAAAHu37oc=")</f>
        <v>#REF!</v>
      </c>
      <c r="EG10" t="e">
        <f>AND(#REF!,"AAAAAHu37og=")</f>
        <v>#REF!</v>
      </c>
      <c r="EH10" t="e">
        <f>AND(#REF!,"AAAAAHu37ok=")</f>
        <v>#REF!</v>
      </c>
      <c r="EI10" t="e">
        <f>AND(#REF!,"AAAAAHu37oo=")</f>
        <v>#REF!</v>
      </c>
      <c r="EJ10" t="e">
        <f>AND(#REF!,"AAAAAHu37os=")</f>
        <v>#REF!</v>
      </c>
      <c r="EK10" t="e">
        <f>AND(#REF!,"AAAAAHu37ow=")</f>
        <v>#REF!</v>
      </c>
      <c r="EL10" t="e">
        <f>AND(#REF!,"AAAAAHu37o0=")</f>
        <v>#REF!</v>
      </c>
      <c r="EM10" t="e">
        <f>AND(#REF!,"AAAAAHu37o4=")</f>
        <v>#REF!</v>
      </c>
      <c r="EN10" t="e">
        <f>IF(#REF!,"AAAAAHu37o8=",0)</f>
        <v>#REF!</v>
      </c>
      <c r="EO10" t="e">
        <f>AND(#REF!,"AAAAAHu37pA=")</f>
        <v>#REF!</v>
      </c>
      <c r="EP10" t="e">
        <f>AND(#REF!,"AAAAAHu37pE=")</f>
        <v>#REF!</v>
      </c>
      <c r="EQ10" t="e">
        <f>AND(#REF!,"AAAAAHu37pI=")</f>
        <v>#REF!</v>
      </c>
      <c r="ER10" t="e">
        <f>AND(#REF!,"AAAAAHu37pM=")</f>
        <v>#REF!</v>
      </c>
      <c r="ES10" t="e">
        <f>AND(#REF!,"AAAAAHu37pQ=")</f>
        <v>#REF!</v>
      </c>
      <c r="ET10" t="e">
        <f>AND(#REF!,"AAAAAHu37pU=")</f>
        <v>#REF!</v>
      </c>
      <c r="EU10" t="e">
        <f>AND(#REF!,"AAAAAHu37pY=")</f>
        <v>#REF!</v>
      </c>
      <c r="EV10" t="e">
        <f>AND(#REF!,"AAAAAHu37pc=")</f>
        <v>#REF!</v>
      </c>
      <c r="EW10" t="e">
        <f>AND(#REF!,"AAAAAHu37pg=")</f>
        <v>#REF!</v>
      </c>
      <c r="EX10" t="e">
        <f>AND(#REF!,"AAAAAHu37pk=")</f>
        <v>#REF!</v>
      </c>
      <c r="EY10" t="e">
        <f>AND(#REF!,"AAAAAHu37po=")</f>
        <v>#REF!</v>
      </c>
      <c r="EZ10" t="e">
        <f>AND(#REF!,"AAAAAHu37ps=")</f>
        <v>#REF!</v>
      </c>
      <c r="FA10" t="e">
        <f>IF(#REF!,"AAAAAHu37pw=",0)</f>
        <v>#REF!</v>
      </c>
      <c r="FB10" t="e">
        <f>AND(#REF!,"AAAAAHu37p0=")</f>
        <v>#REF!</v>
      </c>
      <c r="FC10" t="e">
        <f>AND(#REF!,"AAAAAHu37p4=")</f>
        <v>#REF!</v>
      </c>
      <c r="FD10" t="e">
        <f>AND(#REF!,"AAAAAHu37p8=")</f>
        <v>#REF!</v>
      </c>
      <c r="FE10" t="e">
        <f>AND(#REF!,"AAAAAHu37qA=")</f>
        <v>#REF!</v>
      </c>
      <c r="FF10" t="e">
        <f>AND(#REF!,"AAAAAHu37qE=")</f>
        <v>#REF!</v>
      </c>
      <c r="FG10" t="e">
        <f>AND(#REF!,"AAAAAHu37qI=")</f>
        <v>#REF!</v>
      </c>
      <c r="FH10" t="e">
        <f>AND(#REF!,"AAAAAHu37qM=")</f>
        <v>#REF!</v>
      </c>
      <c r="FI10" t="e">
        <f>AND(#REF!,"AAAAAHu37qQ=")</f>
        <v>#REF!</v>
      </c>
      <c r="FJ10" t="e">
        <f>AND(#REF!,"AAAAAHu37qU=")</f>
        <v>#REF!</v>
      </c>
      <c r="FK10" t="e">
        <f>AND(#REF!,"AAAAAHu37qY=")</f>
        <v>#REF!</v>
      </c>
      <c r="FL10" t="e">
        <f>AND(#REF!,"AAAAAHu37qc=")</f>
        <v>#REF!</v>
      </c>
      <c r="FM10" t="e">
        <f>AND(#REF!,"AAAAAHu37qg=")</f>
        <v>#REF!</v>
      </c>
      <c r="FN10" t="e">
        <f>IF(#REF!,"AAAAAHu37qk=",0)</f>
        <v>#REF!</v>
      </c>
      <c r="FO10" t="e">
        <f>AND(#REF!,"AAAAAHu37qo=")</f>
        <v>#REF!</v>
      </c>
      <c r="FP10" t="e">
        <f>AND(#REF!,"AAAAAHu37qs=")</f>
        <v>#REF!</v>
      </c>
      <c r="FQ10" t="e">
        <f>AND(#REF!,"AAAAAHu37qw=")</f>
        <v>#REF!</v>
      </c>
      <c r="FR10" t="e">
        <f>AND(#REF!,"AAAAAHu37q0=")</f>
        <v>#REF!</v>
      </c>
      <c r="FS10" t="e">
        <f>AND(#REF!,"AAAAAHu37q4=")</f>
        <v>#REF!</v>
      </c>
      <c r="FT10" t="e">
        <f>AND(#REF!,"AAAAAHu37q8=")</f>
        <v>#REF!</v>
      </c>
      <c r="FU10" t="e">
        <f>AND(#REF!,"AAAAAHu37rA=")</f>
        <v>#REF!</v>
      </c>
      <c r="FV10" t="e">
        <f>AND(#REF!,"AAAAAHu37rE=")</f>
        <v>#REF!</v>
      </c>
      <c r="FW10" t="e">
        <f>AND(#REF!,"AAAAAHu37rI=")</f>
        <v>#REF!</v>
      </c>
      <c r="FX10" t="e">
        <f>AND(#REF!,"AAAAAHu37rM=")</f>
        <v>#REF!</v>
      </c>
      <c r="FY10" t="e">
        <f>AND(#REF!,"AAAAAHu37rQ=")</f>
        <v>#REF!</v>
      </c>
      <c r="FZ10" t="e">
        <f>AND(#REF!,"AAAAAHu37rU=")</f>
        <v>#REF!</v>
      </c>
      <c r="GA10" t="e">
        <f>IF(#REF!,"AAAAAHu37rY=",0)</f>
        <v>#REF!</v>
      </c>
      <c r="GB10" t="e">
        <f>AND(#REF!,"AAAAAHu37rc=")</f>
        <v>#REF!</v>
      </c>
      <c r="GC10" t="e">
        <f>AND(#REF!,"AAAAAHu37rg=")</f>
        <v>#REF!</v>
      </c>
      <c r="GD10" t="e">
        <f>AND(#REF!,"AAAAAHu37rk=")</f>
        <v>#REF!</v>
      </c>
      <c r="GE10" t="e">
        <f>AND(#REF!,"AAAAAHu37ro=")</f>
        <v>#REF!</v>
      </c>
      <c r="GF10" t="e">
        <f>AND(#REF!,"AAAAAHu37rs=")</f>
        <v>#REF!</v>
      </c>
      <c r="GG10" t="e">
        <f>AND(#REF!,"AAAAAHu37rw=")</f>
        <v>#REF!</v>
      </c>
      <c r="GH10" t="e">
        <f>AND(#REF!,"AAAAAHu37r0=")</f>
        <v>#REF!</v>
      </c>
      <c r="GI10" t="e">
        <f>AND(#REF!,"AAAAAHu37r4=")</f>
        <v>#REF!</v>
      </c>
      <c r="GJ10" t="e">
        <f>AND(#REF!,"AAAAAHu37r8=")</f>
        <v>#REF!</v>
      </c>
      <c r="GK10" t="e">
        <f>AND(#REF!,"AAAAAHu37sA=")</f>
        <v>#REF!</v>
      </c>
      <c r="GL10" t="e">
        <f>AND(#REF!,"AAAAAHu37sE=")</f>
        <v>#REF!</v>
      </c>
      <c r="GM10" t="e">
        <f>AND(#REF!,"AAAAAHu37sI=")</f>
        <v>#REF!</v>
      </c>
      <c r="GN10" t="e">
        <f>IF(#REF!,"AAAAAHu37sM=",0)</f>
        <v>#REF!</v>
      </c>
      <c r="GO10" t="e">
        <f>AND(#REF!,"AAAAAHu37sQ=")</f>
        <v>#REF!</v>
      </c>
      <c r="GP10" t="e">
        <f>AND(#REF!,"AAAAAHu37sU=")</f>
        <v>#REF!</v>
      </c>
      <c r="GQ10" t="e">
        <f>AND(#REF!,"AAAAAHu37sY=")</f>
        <v>#REF!</v>
      </c>
      <c r="GR10" t="e">
        <f>AND(#REF!,"AAAAAHu37sc=")</f>
        <v>#REF!</v>
      </c>
      <c r="GS10" t="e">
        <f>AND(#REF!,"AAAAAHu37sg=")</f>
        <v>#REF!</v>
      </c>
      <c r="GT10" t="e">
        <f>AND(#REF!,"AAAAAHu37sk=")</f>
        <v>#REF!</v>
      </c>
      <c r="GU10" t="e">
        <f>AND(#REF!,"AAAAAHu37so=")</f>
        <v>#REF!</v>
      </c>
      <c r="GV10" t="e">
        <f>AND(#REF!,"AAAAAHu37ss=")</f>
        <v>#REF!</v>
      </c>
      <c r="GW10" t="e">
        <f>AND(#REF!,"AAAAAHu37sw=")</f>
        <v>#REF!</v>
      </c>
      <c r="GX10" t="e">
        <f>AND(#REF!,"AAAAAHu37s0=")</f>
        <v>#REF!</v>
      </c>
      <c r="GY10" t="e">
        <f>AND(#REF!,"AAAAAHu37s4=")</f>
        <v>#REF!</v>
      </c>
      <c r="GZ10" t="e">
        <f>AND(#REF!,"AAAAAHu37s8=")</f>
        <v>#REF!</v>
      </c>
      <c r="HA10" t="e">
        <f>IF(#REF!,"AAAAAHu37tA=",0)</f>
        <v>#REF!</v>
      </c>
      <c r="HB10" t="e">
        <f>AND(#REF!,"AAAAAHu37tE=")</f>
        <v>#REF!</v>
      </c>
      <c r="HC10" t="e">
        <f>AND(#REF!,"AAAAAHu37tI=")</f>
        <v>#REF!</v>
      </c>
      <c r="HD10" t="e">
        <f>AND(#REF!,"AAAAAHu37tM=")</f>
        <v>#REF!</v>
      </c>
      <c r="HE10" t="e">
        <f>AND(#REF!,"AAAAAHu37tQ=")</f>
        <v>#REF!</v>
      </c>
      <c r="HF10" t="e">
        <f>AND(#REF!,"AAAAAHu37tU=")</f>
        <v>#REF!</v>
      </c>
      <c r="HG10" t="e">
        <f>AND(#REF!,"AAAAAHu37tY=")</f>
        <v>#REF!</v>
      </c>
      <c r="HH10" t="e">
        <f>AND(#REF!,"AAAAAHu37tc=")</f>
        <v>#REF!</v>
      </c>
      <c r="HI10" t="e">
        <f>AND(#REF!,"AAAAAHu37tg=")</f>
        <v>#REF!</v>
      </c>
      <c r="HJ10" t="e">
        <f>AND(#REF!,"AAAAAHu37tk=")</f>
        <v>#REF!</v>
      </c>
      <c r="HK10" t="e">
        <f>AND(#REF!,"AAAAAHu37to=")</f>
        <v>#REF!</v>
      </c>
      <c r="HL10" t="e">
        <f>AND(#REF!,"AAAAAHu37ts=")</f>
        <v>#REF!</v>
      </c>
      <c r="HM10" t="e">
        <f>AND(#REF!,"AAAAAHu37tw=")</f>
        <v>#REF!</v>
      </c>
      <c r="HN10" t="e">
        <f>IF(#REF!,"AAAAAHu37t0=",0)</f>
        <v>#REF!</v>
      </c>
      <c r="HO10" t="e">
        <f>AND(#REF!,"AAAAAHu37t4=")</f>
        <v>#REF!</v>
      </c>
      <c r="HP10" t="e">
        <f>AND(#REF!,"AAAAAHu37t8=")</f>
        <v>#REF!</v>
      </c>
      <c r="HQ10" t="e">
        <f>AND(#REF!,"AAAAAHu37uA=")</f>
        <v>#REF!</v>
      </c>
      <c r="HR10" t="e">
        <f>AND(#REF!,"AAAAAHu37uE=")</f>
        <v>#REF!</v>
      </c>
      <c r="HS10" t="e">
        <f>AND(#REF!,"AAAAAHu37uI=")</f>
        <v>#REF!</v>
      </c>
      <c r="HT10" t="e">
        <f>AND(#REF!,"AAAAAHu37uM=")</f>
        <v>#REF!</v>
      </c>
      <c r="HU10" t="e">
        <f>AND(#REF!,"AAAAAHu37uQ=")</f>
        <v>#REF!</v>
      </c>
      <c r="HV10" t="e">
        <f>AND(#REF!,"AAAAAHu37uU=")</f>
        <v>#REF!</v>
      </c>
      <c r="HW10" t="e">
        <f>AND(#REF!,"AAAAAHu37uY=")</f>
        <v>#REF!</v>
      </c>
      <c r="HX10" t="e">
        <f>AND(#REF!,"AAAAAHu37uc=")</f>
        <v>#REF!</v>
      </c>
      <c r="HY10" t="e">
        <f>AND(#REF!,"AAAAAHu37ug=")</f>
        <v>#REF!</v>
      </c>
      <c r="HZ10" t="e">
        <f>AND(#REF!,"AAAAAHu37uk=")</f>
        <v>#REF!</v>
      </c>
      <c r="IA10" t="e">
        <f>IF(#REF!,"AAAAAHu37uo=",0)</f>
        <v>#REF!</v>
      </c>
      <c r="IB10" t="e">
        <f>AND(#REF!,"AAAAAHu37us=")</f>
        <v>#REF!</v>
      </c>
      <c r="IC10" t="e">
        <f>AND(#REF!,"AAAAAHu37uw=")</f>
        <v>#REF!</v>
      </c>
      <c r="ID10" t="e">
        <f>AND(#REF!,"AAAAAHu37u0=")</f>
        <v>#REF!</v>
      </c>
      <c r="IE10" t="e">
        <f>AND(#REF!,"AAAAAHu37u4=")</f>
        <v>#REF!</v>
      </c>
      <c r="IF10" t="e">
        <f>AND(#REF!,"AAAAAHu37u8=")</f>
        <v>#REF!</v>
      </c>
      <c r="IG10" t="e">
        <f>AND(#REF!,"AAAAAHu37vA=")</f>
        <v>#REF!</v>
      </c>
      <c r="IH10" t="e">
        <f>AND(#REF!,"AAAAAHu37vE=")</f>
        <v>#REF!</v>
      </c>
      <c r="II10" t="e">
        <f>AND(#REF!,"AAAAAHu37vI=")</f>
        <v>#REF!</v>
      </c>
      <c r="IJ10" t="e">
        <f>AND(#REF!,"AAAAAHu37vM=")</f>
        <v>#REF!</v>
      </c>
      <c r="IK10" t="e">
        <f>AND(#REF!,"AAAAAHu37vQ=")</f>
        <v>#REF!</v>
      </c>
      <c r="IL10" t="e">
        <f>AND(#REF!,"AAAAAHu37vU=")</f>
        <v>#REF!</v>
      </c>
      <c r="IM10" t="e">
        <f>AND(#REF!,"AAAAAHu37vY=")</f>
        <v>#REF!</v>
      </c>
      <c r="IN10" t="e">
        <f>IF(#REF!,"AAAAAHu37vc=",0)</f>
        <v>#REF!</v>
      </c>
      <c r="IO10" t="e">
        <f>AND(#REF!,"AAAAAHu37vg=")</f>
        <v>#REF!</v>
      </c>
      <c r="IP10" t="e">
        <f>AND(#REF!,"AAAAAHu37vk=")</f>
        <v>#REF!</v>
      </c>
      <c r="IQ10" t="e">
        <f>AND(#REF!,"AAAAAHu37vo=")</f>
        <v>#REF!</v>
      </c>
      <c r="IR10" t="e">
        <f>AND(#REF!,"AAAAAHu37vs=")</f>
        <v>#REF!</v>
      </c>
      <c r="IS10" t="e">
        <f>AND(#REF!,"AAAAAHu37vw=")</f>
        <v>#REF!</v>
      </c>
      <c r="IT10" t="e">
        <f>AND(#REF!,"AAAAAHu37v0=")</f>
        <v>#REF!</v>
      </c>
      <c r="IU10" t="e">
        <f>AND(#REF!,"AAAAAHu37v4=")</f>
        <v>#REF!</v>
      </c>
      <c r="IV10" t="e">
        <f>AND(#REF!,"AAAAAHu37v8=")</f>
        <v>#REF!</v>
      </c>
    </row>
    <row r="11" spans="1:256">
      <c r="A11" t="e">
        <f>AND(#REF!,"AAAAAH7m5wA=")</f>
        <v>#REF!</v>
      </c>
      <c r="B11" t="e">
        <f>AND(#REF!,"AAAAAH7m5wE=")</f>
        <v>#REF!</v>
      </c>
      <c r="C11" t="e">
        <f>AND(#REF!,"AAAAAH7m5wI=")</f>
        <v>#REF!</v>
      </c>
      <c r="D11" t="e">
        <f>AND(#REF!,"AAAAAH7m5wM=")</f>
        <v>#REF!</v>
      </c>
      <c r="E11" t="e">
        <f>IF(#REF!,"AAAAAH7m5wQ=",0)</f>
        <v>#REF!</v>
      </c>
      <c r="F11" t="e">
        <f>AND(#REF!,"AAAAAH7m5wU=")</f>
        <v>#REF!</v>
      </c>
      <c r="G11" t="e">
        <f>AND(#REF!,"AAAAAH7m5wY=")</f>
        <v>#REF!</v>
      </c>
      <c r="H11" t="e">
        <f>AND(#REF!,"AAAAAH7m5wc=")</f>
        <v>#REF!</v>
      </c>
      <c r="I11" t="e">
        <f>AND(#REF!,"AAAAAH7m5wg=")</f>
        <v>#REF!</v>
      </c>
      <c r="J11" t="e">
        <f>AND(#REF!,"AAAAAH7m5wk=")</f>
        <v>#REF!</v>
      </c>
      <c r="K11" t="e">
        <f>AND(#REF!,"AAAAAH7m5wo=")</f>
        <v>#REF!</v>
      </c>
      <c r="L11" t="e">
        <f>AND(#REF!,"AAAAAH7m5ws=")</f>
        <v>#REF!</v>
      </c>
      <c r="M11" t="e">
        <f>AND(#REF!,"AAAAAH7m5ww=")</f>
        <v>#REF!</v>
      </c>
      <c r="N11" t="e">
        <f>AND(#REF!,"AAAAAH7m5w0=")</f>
        <v>#REF!</v>
      </c>
      <c r="O11" t="e">
        <f>AND(#REF!,"AAAAAH7m5w4=")</f>
        <v>#REF!</v>
      </c>
      <c r="P11" t="e">
        <f>AND(#REF!,"AAAAAH7m5w8=")</f>
        <v>#REF!</v>
      </c>
      <c r="Q11" t="e">
        <f>AND(#REF!,"AAAAAH7m5xA=")</f>
        <v>#REF!</v>
      </c>
      <c r="R11" t="e">
        <f>IF(#REF!,"AAAAAH7m5xE=",0)</f>
        <v>#REF!</v>
      </c>
      <c r="S11" t="e">
        <f>AND(#REF!,"AAAAAH7m5xI=")</f>
        <v>#REF!</v>
      </c>
      <c r="T11" t="e">
        <f>AND(#REF!,"AAAAAH7m5xM=")</f>
        <v>#REF!</v>
      </c>
      <c r="U11" t="e">
        <f>AND(#REF!,"AAAAAH7m5xQ=")</f>
        <v>#REF!</v>
      </c>
      <c r="V11" t="e">
        <f>AND(#REF!,"AAAAAH7m5xU=")</f>
        <v>#REF!</v>
      </c>
      <c r="W11" t="e">
        <f>AND(#REF!,"AAAAAH7m5xY=")</f>
        <v>#REF!</v>
      </c>
      <c r="X11" t="e">
        <f>AND(#REF!,"AAAAAH7m5xc=")</f>
        <v>#REF!</v>
      </c>
      <c r="Y11" t="e">
        <f>AND(#REF!,"AAAAAH7m5xg=")</f>
        <v>#REF!</v>
      </c>
      <c r="Z11" t="e">
        <f>AND(#REF!,"AAAAAH7m5xk=")</f>
        <v>#REF!</v>
      </c>
      <c r="AA11" t="e">
        <f>AND(#REF!,"AAAAAH7m5xo=")</f>
        <v>#REF!</v>
      </c>
      <c r="AB11" t="e">
        <f>AND(#REF!,"AAAAAH7m5xs=")</f>
        <v>#REF!</v>
      </c>
      <c r="AC11" t="e">
        <f>AND(#REF!,"AAAAAH7m5xw=")</f>
        <v>#REF!</v>
      </c>
      <c r="AD11" t="e">
        <f>AND(#REF!,"AAAAAH7m5x0=")</f>
        <v>#REF!</v>
      </c>
      <c r="AE11" t="e">
        <f>IF(#REF!,"AAAAAH7m5x4=",0)</f>
        <v>#REF!</v>
      </c>
      <c r="AF11" t="e">
        <f>AND(#REF!,"AAAAAH7m5x8=")</f>
        <v>#REF!</v>
      </c>
      <c r="AG11" t="e">
        <f>AND(#REF!,"AAAAAH7m5yA=")</f>
        <v>#REF!</v>
      </c>
      <c r="AH11" t="e">
        <f>AND(#REF!,"AAAAAH7m5yE=")</f>
        <v>#REF!</v>
      </c>
      <c r="AI11" t="e">
        <f>AND(#REF!,"AAAAAH7m5yI=")</f>
        <v>#REF!</v>
      </c>
      <c r="AJ11" t="e">
        <f>AND(#REF!,"AAAAAH7m5yM=")</f>
        <v>#REF!</v>
      </c>
      <c r="AK11" t="e">
        <f>AND(#REF!,"AAAAAH7m5yQ=")</f>
        <v>#REF!</v>
      </c>
      <c r="AL11" t="e">
        <f>AND(#REF!,"AAAAAH7m5yU=")</f>
        <v>#REF!</v>
      </c>
      <c r="AM11" t="e">
        <f>AND(#REF!,"AAAAAH7m5yY=")</f>
        <v>#REF!</v>
      </c>
      <c r="AN11" t="e">
        <f>AND(#REF!,"AAAAAH7m5yc=")</f>
        <v>#REF!</v>
      </c>
      <c r="AO11" t="e">
        <f>AND(#REF!,"AAAAAH7m5yg=")</f>
        <v>#REF!</v>
      </c>
      <c r="AP11" t="e">
        <f>AND(#REF!,"AAAAAH7m5yk=")</f>
        <v>#REF!</v>
      </c>
      <c r="AQ11" t="e">
        <f>AND(#REF!,"AAAAAH7m5yo=")</f>
        <v>#REF!</v>
      </c>
      <c r="AR11" t="e">
        <f>IF(#REF!,"AAAAAH7m5ys=",0)</f>
        <v>#REF!</v>
      </c>
      <c r="AS11" t="e">
        <f>AND(#REF!,"AAAAAH7m5yw=")</f>
        <v>#REF!</v>
      </c>
      <c r="AT11" t="e">
        <f>AND(#REF!,"AAAAAH7m5y0=")</f>
        <v>#REF!</v>
      </c>
      <c r="AU11" t="e">
        <f>AND(#REF!,"AAAAAH7m5y4=")</f>
        <v>#REF!</v>
      </c>
      <c r="AV11" t="e">
        <f>AND(#REF!,"AAAAAH7m5y8=")</f>
        <v>#REF!</v>
      </c>
      <c r="AW11" t="e">
        <f>AND(#REF!,"AAAAAH7m5zA=")</f>
        <v>#REF!</v>
      </c>
      <c r="AX11" t="e">
        <f>AND(#REF!,"AAAAAH7m5zE=")</f>
        <v>#REF!</v>
      </c>
      <c r="AY11" t="e">
        <f>AND(#REF!,"AAAAAH7m5zI=")</f>
        <v>#REF!</v>
      </c>
      <c r="AZ11" t="e">
        <f>AND(#REF!,"AAAAAH7m5zM=")</f>
        <v>#REF!</v>
      </c>
      <c r="BA11" t="e">
        <f>AND(#REF!,"AAAAAH7m5zQ=")</f>
        <v>#REF!</v>
      </c>
      <c r="BB11" t="e">
        <f>AND(#REF!,"AAAAAH7m5zU=")</f>
        <v>#REF!</v>
      </c>
      <c r="BC11" t="e">
        <f>AND(#REF!,"AAAAAH7m5zY=")</f>
        <v>#REF!</v>
      </c>
      <c r="BD11" t="e">
        <f>AND(#REF!,"AAAAAH7m5zc=")</f>
        <v>#REF!</v>
      </c>
      <c r="BE11" t="e">
        <f>IF(#REF!,"AAAAAH7m5zg=",0)</f>
        <v>#REF!</v>
      </c>
      <c r="BF11" t="e">
        <f>AND(#REF!,"AAAAAH7m5zk=")</f>
        <v>#REF!</v>
      </c>
      <c r="BG11" t="e">
        <f>AND(#REF!,"AAAAAH7m5zo=")</f>
        <v>#REF!</v>
      </c>
      <c r="BH11" t="e">
        <f>AND(#REF!,"AAAAAH7m5zs=")</f>
        <v>#REF!</v>
      </c>
      <c r="BI11" t="e">
        <f>AND(#REF!,"AAAAAH7m5zw=")</f>
        <v>#REF!</v>
      </c>
      <c r="BJ11" t="e">
        <f>AND(#REF!,"AAAAAH7m5z0=")</f>
        <v>#REF!</v>
      </c>
      <c r="BK11" t="e">
        <f>AND(#REF!,"AAAAAH7m5z4=")</f>
        <v>#REF!</v>
      </c>
      <c r="BL11" t="e">
        <f>AND(#REF!,"AAAAAH7m5z8=")</f>
        <v>#REF!</v>
      </c>
      <c r="BM11" t="e">
        <f>AND(#REF!,"AAAAAH7m50A=")</f>
        <v>#REF!</v>
      </c>
      <c r="BN11" t="e">
        <f>AND(#REF!,"AAAAAH7m50E=")</f>
        <v>#REF!</v>
      </c>
      <c r="BO11" t="e">
        <f>AND(#REF!,"AAAAAH7m50I=")</f>
        <v>#REF!</v>
      </c>
      <c r="BP11" t="e">
        <f>AND(#REF!,"AAAAAH7m50M=")</f>
        <v>#REF!</v>
      </c>
      <c r="BQ11" t="e">
        <f>AND(#REF!,"AAAAAH7m50Q=")</f>
        <v>#REF!</v>
      </c>
      <c r="BR11" t="e">
        <f>IF(#REF!,"AAAAAH7m50U=",0)</f>
        <v>#REF!</v>
      </c>
      <c r="BS11" t="e">
        <f>AND(#REF!,"AAAAAH7m50Y=")</f>
        <v>#REF!</v>
      </c>
      <c r="BT11" t="e">
        <f>AND(#REF!,"AAAAAH7m50c=")</f>
        <v>#REF!</v>
      </c>
      <c r="BU11" t="e">
        <f>AND(#REF!,"AAAAAH7m50g=")</f>
        <v>#REF!</v>
      </c>
      <c r="BV11" t="e">
        <f>AND(#REF!,"AAAAAH7m50k=")</f>
        <v>#REF!</v>
      </c>
      <c r="BW11" t="e">
        <f>AND(#REF!,"AAAAAH7m50o=")</f>
        <v>#REF!</v>
      </c>
      <c r="BX11" t="e">
        <f>AND(#REF!,"AAAAAH7m50s=")</f>
        <v>#REF!</v>
      </c>
      <c r="BY11" t="e">
        <f>AND(#REF!,"AAAAAH7m50w=")</f>
        <v>#REF!</v>
      </c>
      <c r="BZ11" t="e">
        <f>AND(#REF!,"AAAAAH7m500=")</f>
        <v>#REF!</v>
      </c>
      <c r="CA11" t="e">
        <f>AND(#REF!,"AAAAAH7m504=")</f>
        <v>#REF!</v>
      </c>
      <c r="CB11" t="e">
        <f>AND(#REF!,"AAAAAH7m508=")</f>
        <v>#REF!</v>
      </c>
      <c r="CC11" t="e">
        <f>AND(#REF!,"AAAAAH7m51A=")</f>
        <v>#REF!</v>
      </c>
      <c r="CD11" t="e">
        <f>AND(#REF!,"AAAAAH7m51E=")</f>
        <v>#REF!</v>
      </c>
      <c r="CE11" t="e">
        <f>IF(#REF!,"AAAAAH7m51I=",0)</f>
        <v>#REF!</v>
      </c>
      <c r="CF11" t="e">
        <f>AND(#REF!,"AAAAAH7m51M=")</f>
        <v>#REF!</v>
      </c>
      <c r="CG11" t="e">
        <f>AND(#REF!,"AAAAAH7m51Q=")</f>
        <v>#REF!</v>
      </c>
      <c r="CH11" t="e">
        <f>AND(#REF!,"AAAAAH7m51U=")</f>
        <v>#REF!</v>
      </c>
      <c r="CI11" t="e">
        <f>AND(#REF!,"AAAAAH7m51Y=")</f>
        <v>#REF!</v>
      </c>
      <c r="CJ11" t="e">
        <f>AND(#REF!,"AAAAAH7m51c=")</f>
        <v>#REF!</v>
      </c>
      <c r="CK11" t="e">
        <f>AND(#REF!,"AAAAAH7m51g=")</f>
        <v>#REF!</v>
      </c>
      <c r="CL11" t="e">
        <f>AND(#REF!,"AAAAAH7m51k=")</f>
        <v>#REF!</v>
      </c>
      <c r="CM11" t="e">
        <f>AND(#REF!,"AAAAAH7m51o=")</f>
        <v>#REF!</v>
      </c>
      <c r="CN11" t="e">
        <f>AND(#REF!,"AAAAAH7m51s=")</f>
        <v>#REF!</v>
      </c>
      <c r="CO11" t="e">
        <f>AND(#REF!,"AAAAAH7m51w=")</f>
        <v>#REF!</v>
      </c>
      <c r="CP11" t="e">
        <f>AND(#REF!,"AAAAAH7m510=")</f>
        <v>#REF!</v>
      </c>
      <c r="CQ11" t="e">
        <f>AND(#REF!,"AAAAAH7m514=")</f>
        <v>#REF!</v>
      </c>
      <c r="CR11" t="e">
        <f>IF(#REF!,"AAAAAH7m518=",0)</f>
        <v>#REF!</v>
      </c>
      <c r="CS11" t="e">
        <f>AND(#REF!,"AAAAAH7m52A=")</f>
        <v>#REF!</v>
      </c>
      <c r="CT11" t="e">
        <f>AND(#REF!,"AAAAAH7m52E=")</f>
        <v>#REF!</v>
      </c>
      <c r="CU11" t="e">
        <f>AND(#REF!,"AAAAAH7m52I=")</f>
        <v>#REF!</v>
      </c>
      <c r="CV11" t="e">
        <f>AND(#REF!,"AAAAAH7m52M=")</f>
        <v>#REF!</v>
      </c>
      <c r="CW11" t="e">
        <f>AND(#REF!,"AAAAAH7m52Q=")</f>
        <v>#REF!</v>
      </c>
      <c r="CX11" t="e">
        <f>AND(#REF!,"AAAAAH7m52U=")</f>
        <v>#REF!</v>
      </c>
      <c r="CY11" t="e">
        <f>AND(#REF!,"AAAAAH7m52Y=")</f>
        <v>#REF!</v>
      </c>
      <c r="CZ11" t="e">
        <f>AND(#REF!,"AAAAAH7m52c=")</f>
        <v>#REF!</v>
      </c>
      <c r="DA11" t="e">
        <f>AND(#REF!,"AAAAAH7m52g=")</f>
        <v>#REF!</v>
      </c>
      <c r="DB11" t="e">
        <f>AND(#REF!,"AAAAAH7m52k=")</f>
        <v>#REF!</v>
      </c>
      <c r="DC11" t="e">
        <f>AND(#REF!,"AAAAAH7m52o=")</f>
        <v>#REF!</v>
      </c>
      <c r="DD11" t="e">
        <f>AND(#REF!,"AAAAAH7m52s=")</f>
        <v>#REF!</v>
      </c>
      <c r="DE11" t="e">
        <f>IF(#REF!,"AAAAAH7m52w=",0)</f>
        <v>#REF!</v>
      </c>
      <c r="DF11" t="e">
        <f>AND(#REF!,"AAAAAH7m520=")</f>
        <v>#REF!</v>
      </c>
      <c r="DG11" t="e">
        <f>AND(#REF!,"AAAAAH7m524=")</f>
        <v>#REF!</v>
      </c>
      <c r="DH11" t="e">
        <f>AND(#REF!,"AAAAAH7m528=")</f>
        <v>#REF!</v>
      </c>
      <c r="DI11" t="e">
        <f>AND(#REF!,"AAAAAH7m53A=")</f>
        <v>#REF!</v>
      </c>
      <c r="DJ11" t="e">
        <f>AND(#REF!,"AAAAAH7m53E=")</f>
        <v>#REF!</v>
      </c>
      <c r="DK11" t="e">
        <f>AND(#REF!,"AAAAAH7m53I=")</f>
        <v>#REF!</v>
      </c>
      <c r="DL11" t="e">
        <f>AND(#REF!,"AAAAAH7m53M=")</f>
        <v>#REF!</v>
      </c>
      <c r="DM11" t="e">
        <f>AND(#REF!,"AAAAAH7m53Q=")</f>
        <v>#REF!</v>
      </c>
      <c r="DN11" t="e">
        <f>AND(#REF!,"AAAAAH7m53U=")</f>
        <v>#REF!</v>
      </c>
      <c r="DO11" t="e">
        <f>AND(#REF!,"AAAAAH7m53Y=")</f>
        <v>#REF!</v>
      </c>
      <c r="DP11" t="e">
        <f>AND(#REF!,"AAAAAH7m53c=")</f>
        <v>#REF!</v>
      </c>
      <c r="DQ11" t="e">
        <f>AND(#REF!,"AAAAAH7m53g=")</f>
        <v>#REF!</v>
      </c>
      <c r="DR11" t="e">
        <f>IF(#REF!,"AAAAAH7m53k=",0)</f>
        <v>#REF!</v>
      </c>
      <c r="DS11" t="e">
        <f>AND(#REF!,"AAAAAH7m53o=")</f>
        <v>#REF!</v>
      </c>
      <c r="DT11" t="e">
        <f>AND(#REF!,"AAAAAH7m53s=")</f>
        <v>#REF!</v>
      </c>
      <c r="DU11" t="e">
        <f>AND(#REF!,"AAAAAH7m53w=")</f>
        <v>#REF!</v>
      </c>
      <c r="DV11" t="e">
        <f>AND(#REF!,"AAAAAH7m530=")</f>
        <v>#REF!</v>
      </c>
      <c r="DW11" t="e">
        <f>AND(#REF!,"AAAAAH7m534=")</f>
        <v>#REF!</v>
      </c>
      <c r="DX11" t="e">
        <f>AND(#REF!,"AAAAAH7m538=")</f>
        <v>#REF!</v>
      </c>
      <c r="DY11" t="e">
        <f>AND(#REF!,"AAAAAH7m54A=")</f>
        <v>#REF!</v>
      </c>
      <c r="DZ11" t="e">
        <f>AND(#REF!,"AAAAAH7m54E=")</f>
        <v>#REF!</v>
      </c>
      <c r="EA11" t="e">
        <f>AND(#REF!,"AAAAAH7m54I=")</f>
        <v>#REF!</v>
      </c>
      <c r="EB11" t="e">
        <f>AND(#REF!,"AAAAAH7m54M=")</f>
        <v>#REF!</v>
      </c>
      <c r="EC11" t="e">
        <f>AND(#REF!,"AAAAAH7m54Q=")</f>
        <v>#REF!</v>
      </c>
      <c r="ED11" t="e">
        <f>AND(#REF!,"AAAAAH7m54U=")</f>
        <v>#REF!</v>
      </c>
      <c r="EE11" t="e">
        <f>IF(#REF!,"AAAAAH7m54Y=",0)</f>
        <v>#REF!</v>
      </c>
      <c r="EF11" t="e">
        <f>AND(#REF!,"AAAAAH7m54c=")</f>
        <v>#REF!</v>
      </c>
      <c r="EG11" t="e">
        <f>AND(#REF!,"AAAAAH7m54g=")</f>
        <v>#REF!</v>
      </c>
      <c r="EH11" t="e">
        <f>AND(#REF!,"AAAAAH7m54k=")</f>
        <v>#REF!</v>
      </c>
      <c r="EI11" t="e">
        <f>AND(#REF!,"AAAAAH7m54o=")</f>
        <v>#REF!</v>
      </c>
      <c r="EJ11" t="e">
        <f>AND(#REF!,"AAAAAH7m54s=")</f>
        <v>#REF!</v>
      </c>
      <c r="EK11" t="e">
        <f>AND(#REF!,"AAAAAH7m54w=")</f>
        <v>#REF!</v>
      </c>
      <c r="EL11" t="e">
        <f>AND(#REF!,"AAAAAH7m540=")</f>
        <v>#REF!</v>
      </c>
      <c r="EM11" t="e">
        <f>AND(#REF!,"AAAAAH7m544=")</f>
        <v>#REF!</v>
      </c>
      <c r="EN11" t="e">
        <f>AND(#REF!,"AAAAAH7m548=")</f>
        <v>#REF!</v>
      </c>
      <c r="EO11" t="e">
        <f>AND(#REF!,"AAAAAH7m55A=")</f>
        <v>#REF!</v>
      </c>
      <c r="EP11" t="e">
        <f>AND(#REF!,"AAAAAH7m55E=")</f>
        <v>#REF!</v>
      </c>
      <c r="EQ11" t="e">
        <f>AND(#REF!,"AAAAAH7m55I=")</f>
        <v>#REF!</v>
      </c>
      <c r="ER11" t="e">
        <f>IF(#REF!,"AAAAAH7m55M=",0)</f>
        <v>#REF!</v>
      </c>
      <c r="ES11" t="e">
        <f>AND(#REF!,"AAAAAH7m55Q=")</f>
        <v>#REF!</v>
      </c>
      <c r="ET11" t="e">
        <f>AND(#REF!,"AAAAAH7m55U=")</f>
        <v>#REF!</v>
      </c>
      <c r="EU11" t="e">
        <f>AND(#REF!,"AAAAAH7m55Y=")</f>
        <v>#REF!</v>
      </c>
      <c r="EV11" t="e">
        <f>AND(#REF!,"AAAAAH7m55c=")</f>
        <v>#REF!</v>
      </c>
      <c r="EW11" t="e">
        <f>AND(#REF!,"AAAAAH7m55g=")</f>
        <v>#REF!</v>
      </c>
      <c r="EX11" t="e">
        <f>AND(#REF!,"AAAAAH7m55k=")</f>
        <v>#REF!</v>
      </c>
      <c r="EY11" t="e">
        <f>AND(#REF!,"AAAAAH7m55o=")</f>
        <v>#REF!</v>
      </c>
      <c r="EZ11" t="e">
        <f>AND(#REF!,"AAAAAH7m55s=")</f>
        <v>#REF!</v>
      </c>
      <c r="FA11" t="e">
        <f>AND(#REF!,"AAAAAH7m55w=")</f>
        <v>#REF!</v>
      </c>
      <c r="FB11" t="e">
        <f>AND(#REF!,"AAAAAH7m550=")</f>
        <v>#REF!</v>
      </c>
      <c r="FC11" t="e">
        <f>AND(#REF!,"AAAAAH7m554=")</f>
        <v>#REF!</v>
      </c>
      <c r="FD11" t="e">
        <f>AND(#REF!,"AAAAAH7m558=")</f>
        <v>#REF!</v>
      </c>
      <c r="FE11" t="e">
        <f>IF(#REF!,"AAAAAH7m56A=",0)</f>
        <v>#REF!</v>
      </c>
      <c r="FF11" t="e">
        <f>AND(#REF!,"AAAAAH7m56E=")</f>
        <v>#REF!</v>
      </c>
      <c r="FG11" t="e">
        <f>AND(#REF!,"AAAAAH7m56I=")</f>
        <v>#REF!</v>
      </c>
      <c r="FH11" t="e">
        <f>AND(#REF!,"AAAAAH7m56M=")</f>
        <v>#REF!</v>
      </c>
      <c r="FI11" t="e">
        <f>AND(#REF!,"AAAAAH7m56Q=")</f>
        <v>#REF!</v>
      </c>
      <c r="FJ11" t="e">
        <f>AND(#REF!,"AAAAAH7m56U=")</f>
        <v>#REF!</v>
      </c>
      <c r="FK11" t="e">
        <f>AND(#REF!,"AAAAAH7m56Y=")</f>
        <v>#REF!</v>
      </c>
      <c r="FL11" t="e">
        <f>AND(#REF!,"AAAAAH7m56c=")</f>
        <v>#REF!</v>
      </c>
      <c r="FM11" t="e">
        <f>AND(#REF!,"AAAAAH7m56g=")</f>
        <v>#REF!</v>
      </c>
      <c r="FN11" t="e">
        <f>AND(#REF!,"AAAAAH7m56k=")</f>
        <v>#REF!</v>
      </c>
      <c r="FO11" t="e">
        <f>AND(#REF!,"AAAAAH7m56o=")</f>
        <v>#REF!</v>
      </c>
      <c r="FP11" t="e">
        <f>AND(#REF!,"AAAAAH7m56s=")</f>
        <v>#REF!</v>
      </c>
      <c r="FQ11" t="e">
        <f>AND(#REF!,"AAAAAH7m56w=")</f>
        <v>#REF!</v>
      </c>
      <c r="FR11" t="e">
        <f>IF(#REF!,"AAAAAH7m560=",0)</f>
        <v>#REF!</v>
      </c>
      <c r="FS11" t="e">
        <f>AND(#REF!,"AAAAAH7m564=")</f>
        <v>#REF!</v>
      </c>
      <c r="FT11" t="e">
        <f>AND(#REF!,"AAAAAH7m568=")</f>
        <v>#REF!</v>
      </c>
      <c r="FU11" t="e">
        <f>AND(#REF!,"AAAAAH7m57A=")</f>
        <v>#REF!</v>
      </c>
      <c r="FV11" t="e">
        <f>AND(#REF!,"AAAAAH7m57E=")</f>
        <v>#REF!</v>
      </c>
      <c r="FW11" t="e">
        <f>AND(#REF!,"AAAAAH7m57I=")</f>
        <v>#REF!</v>
      </c>
      <c r="FX11" t="e">
        <f>AND(#REF!,"AAAAAH7m57M=")</f>
        <v>#REF!</v>
      </c>
      <c r="FY11" t="e">
        <f>AND(#REF!,"AAAAAH7m57Q=")</f>
        <v>#REF!</v>
      </c>
      <c r="FZ11" t="e">
        <f>AND(#REF!,"AAAAAH7m57U=")</f>
        <v>#REF!</v>
      </c>
      <c r="GA11" t="e">
        <f>AND(#REF!,"AAAAAH7m57Y=")</f>
        <v>#REF!</v>
      </c>
      <c r="GB11" t="e">
        <f>AND(#REF!,"AAAAAH7m57c=")</f>
        <v>#REF!</v>
      </c>
      <c r="GC11" t="e">
        <f>AND(#REF!,"AAAAAH7m57g=")</f>
        <v>#REF!</v>
      </c>
      <c r="GD11" t="e">
        <f>AND(#REF!,"AAAAAH7m57k=")</f>
        <v>#REF!</v>
      </c>
      <c r="GE11" t="e">
        <f>IF(#REF!,"AAAAAH7m57o=",0)</f>
        <v>#REF!</v>
      </c>
      <c r="GF11" t="e">
        <f>AND(#REF!,"AAAAAH7m57s=")</f>
        <v>#REF!</v>
      </c>
      <c r="GG11" t="e">
        <f>AND(#REF!,"AAAAAH7m57w=")</f>
        <v>#REF!</v>
      </c>
      <c r="GH11" t="e">
        <f>AND(#REF!,"AAAAAH7m570=")</f>
        <v>#REF!</v>
      </c>
      <c r="GI11" t="e">
        <f>AND(#REF!,"AAAAAH7m574=")</f>
        <v>#REF!</v>
      </c>
      <c r="GJ11" t="e">
        <f>AND(#REF!,"AAAAAH7m578=")</f>
        <v>#REF!</v>
      </c>
      <c r="GK11" t="e">
        <f>AND(#REF!,"AAAAAH7m58A=")</f>
        <v>#REF!</v>
      </c>
      <c r="GL11" t="e">
        <f>AND(#REF!,"AAAAAH7m58E=")</f>
        <v>#REF!</v>
      </c>
      <c r="GM11" t="e">
        <f>AND(#REF!,"AAAAAH7m58I=")</f>
        <v>#REF!</v>
      </c>
      <c r="GN11" t="e">
        <f>AND(#REF!,"AAAAAH7m58M=")</f>
        <v>#REF!</v>
      </c>
      <c r="GO11" t="e">
        <f>AND(#REF!,"AAAAAH7m58Q=")</f>
        <v>#REF!</v>
      </c>
      <c r="GP11" t="e">
        <f>AND(#REF!,"AAAAAH7m58U=")</f>
        <v>#REF!</v>
      </c>
      <c r="GQ11" t="e">
        <f>AND(#REF!,"AAAAAH7m58Y=")</f>
        <v>#REF!</v>
      </c>
      <c r="GR11" t="e">
        <f>IF(#REF!,"AAAAAH7m58c=",0)</f>
        <v>#REF!</v>
      </c>
      <c r="GS11" t="e">
        <f>AND(#REF!,"AAAAAH7m58g=")</f>
        <v>#REF!</v>
      </c>
      <c r="GT11" t="e">
        <f>AND(#REF!,"AAAAAH7m58k=")</f>
        <v>#REF!</v>
      </c>
      <c r="GU11" t="e">
        <f>AND(#REF!,"AAAAAH7m58o=")</f>
        <v>#REF!</v>
      </c>
      <c r="GV11" t="e">
        <f>AND(#REF!,"AAAAAH7m58s=")</f>
        <v>#REF!</v>
      </c>
      <c r="GW11" t="e">
        <f>AND(#REF!,"AAAAAH7m58w=")</f>
        <v>#REF!</v>
      </c>
      <c r="GX11" t="e">
        <f>AND(#REF!,"AAAAAH7m580=")</f>
        <v>#REF!</v>
      </c>
      <c r="GY11" t="e">
        <f>AND(#REF!,"AAAAAH7m584=")</f>
        <v>#REF!</v>
      </c>
      <c r="GZ11" t="e">
        <f>AND(#REF!,"AAAAAH7m588=")</f>
        <v>#REF!</v>
      </c>
      <c r="HA11" t="e">
        <f>AND(#REF!,"AAAAAH7m59A=")</f>
        <v>#REF!</v>
      </c>
      <c r="HB11" t="e">
        <f>AND(#REF!,"AAAAAH7m59E=")</f>
        <v>#REF!</v>
      </c>
      <c r="HC11" t="e">
        <f>AND(#REF!,"AAAAAH7m59I=")</f>
        <v>#REF!</v>
      </c>
      <c r="HD11" t="e">
        <f>AND(#REF!,"AAAAAH7m59M=")</f>
        <v>#REF!</v>
      </c>
      <c r="HE11" t="e">
        <f>IF(#REF!,"AAAAAH7m59Q=",0)</f>
        <v>#REF!</v>
      </c>
      <c r="HF11" t="e">
        <f>AND(#REF!,"AAAAAH7m59U=")</f>
        <v>#REF!</v>
      </c>
      <c r="HG11" t="e">
        <f>AND(#REF!,"AAAAAH7m59Y=")</f>
        <v>#REF!</v>
      </c>
      <c r="HH11" t="e">
        <f>AND(#REF!,"AAAAAH7m59c=")</f>
        <v>#REF!</v>
      </c>
      <c r="HI11" t="e">
        <f>AND(#REF!,"AAAAAH7m59g=")</f>
        <v>#REF!</v>
      </c>
      <c r="HJ11" t="e">
        <f>AND(#REF!,"AAAAAH7m59k=")</f>
        <v>#REF!</v>
      </c>
      <c r="HK11" t="e">
        <f>AND(#REF!,"AAAAAH7m59o=")</f>
        <v>#REF!</v>
      </c>
      <c r="HL11" t="e">
        <f>AND(#REF!,"AAAAAH7m59s=")</f>
        <v>#REF!</v>
      </c>
      <c r="HM11" t="e">
        <f>AND(#REF!,"AAAAAH7m59w=")</f>
        <v>#REF!</v>
      </c>
      <c r="HN11" t="e">
        <f>AND(#REF!,"AAAAAH7m590=")</f>
        <v>#REF!</v>
      </c>
      <c r="HO11" t="e">
        <f>AND(#REF!,"AAAAAH7m594=")</f>
        <v>#REF!</v>
      </c>
      <c r="HP11" t="e">
        <f>AND(#REF!,"AAAAAH7m598=")</f>
        <v>#REF!</v>
      </c>
      <c r="HQ11" t="e">
        <f>AND(#REF!,"AAAAAH7m5+A=")</f>
        <v>#REF!</v>
      </c>
      <c r="HR11" t="e">
        <f>IF(#REF!,"AAAAAH7m5+E=",0)</f>
        <v>#REF!</v>
      </c>
      <c r="HS11" t="e">
        <f>AND(#REF!,"AAAAAH7m5+I=")</f>
        <v>#REF!</v>
      </c>
      <c r="HT11" t="e">
        <f>AND(#REF!,"AAAAAH7m5+M=")</f>
        <v>#REF!</v>
      </c>
      <c r="HU11" t="e">
        <f>AND(#REF!,"AAAAAH7m5+Q=")</f>
        <v>#REF!</v>
      </c>
      <c r="HV11" t="e">
        <f>AND(#REF!,"AAAAAH7m5+U=")</f>
        <v>#REF!</v>
      </c>
      <c r="HW11" t="e">
        <f>AND(#REF!,"AAAAAH7m5+Y=")</f>
        <v>#REF!</v>
      </c>
      <c r="HX11" t="e">
        <f>AND(#REF!,"AAAAAH7m5+c=")</f>
        <v>#REF!</v>
      </c>
      <c r="HY11" t="e">
        <f>AND(#REF!,"AAAAAH7m5+g=")</f>
        <v>#REF!</v>
      </c>
      <c r="HZ11" t="e">
        <f>AND(#REF!,"AAAAAH7m5+k=")</f>
        <v>#REF!</v>
      </c>
      <c r="IA11" t="e">
        <f>AND(#REF!,"AAAAAH7m5+o=")</f>
        <v>#REF!</v>
      </c>
      <c r="IB11" t="e">
        <f>AND(#REF!,"AAAAAH7m5+s=")</f>
        <v>#REF!</v>
      </c>
      <c r="IC11" t="e">
        <f>AND(#REF!,"AAAAAH7m5+w=")</f>
        <v>#REF!</v>
      </c>
      <c r="ID11" t="e">
        <f>AND(#REF!,"AAAAAH7m5+0=")</f>
        <v>#REF!</v>
      </c>
      <c r="IE11" t="e">
        <f>IF(#REF!,"AAAAAH7m5+4=",0)</f>
        <v>#REF!</v>
      </c>
      <c r="IF11" t="e">
        <f>AND(#REF!,"AAAAAH7m5+8=")</f>
        <v>#REF!</v>
      </c>
      <c r="IG11" t="e">
        <f>AND(#REF!,"AAAAAH7m5/A=")</f>
        <v>#REF!</v>
      </c>
      <c r="IH11" t="e">
        <f>AND(#REF!,"AAAAAH7m5/E=")</f>
        <v>#REF!</v>
      </c>
      <c r="II11" t="e">
        <f>AND(#REF!,"AAAAAH7m5/I=")</f>
        <v>#REF!</v>
      </c>
      <c r="IJ11" t="e">
        <f>AND(#REF!,"AAAAAH7m5/M=")</f>
        <v>#REF!</v>
      </c>
      <c r="IK11" t="e">
        <f>AND(#REF!,"AAAAAH7m5/Q=")</f>
        <v>#REF!</v>
      </c>
      <c r="IL11" t="e">
        <f>AND(#REF!,"AAAAAH7m5/U=")</f>
        <v>#REF!</v>
      </c>
      <c r="IM11" t="e">
        <f>AND(#REF!,"AAAAAH7m5/Y=")</f>
        <v>#REF!</v>
      </c>
      <c r="IN11" t="e">
        <f>AND(#REF!,"AAAAAH7m5/c=")</f>
        <v>#REF!</v>
      </c>
      <c r="IO11" t="e">
        <f>AND(#REF!,"AAAAAH7m5/g=")</f>
        <v>#REF!</v>
      </c>
      <c r="IP11" t="e">
        <f>AND(#REF!,"AAAAAH7m5/k=")</f>
        <v>#REF!</v>
      </c>
      <c r="IQ11" t="e">
        <f>AND(#REF!,"AAAAAH7m5/o=")</f>
        <v>#REF!</v>
      </c>
      <c r="IR11" t="e">
        <f>IF(#REF!,"AAAAAH7m5/s=",0)</f>
        <v>#REF!</v>
      </c>
      <c r="IS11" t="e">
        <f>AND(#REF!,"AAAAAH7m5/w=")</f>
        <v>#REF!</v>
      </c>
      <c r="IT11" t="e">
        <f>AND(#REF!,"AAAAAH7m5/0=")</f>
        <v>#REF!</v>
      </c>
      <c r="IU11" t="e">
        <f>AND(#REF!,"AAAAAH7m5/4=")</f>
        <v>#REF!</v>
      </c>
      <c r="IV11" t="e">
        <f>AND(#REF!,"AAAAAH7m5/8=")</f>
        <v>#REF!</v>
      </c>
    </row>
    <row r="12" spans="1:256">
      <c r="A12" t="e">
        <f>AND(#REF!,"AAAAAD/f/gA=")</f>
        <v>#REF!</v>
      </c>
      <c r="B12" t="e">
        <f>AND(#REF!,"AAAAAD/f/gE=")</f>
        <v>#REF!</v>
      </c>
      <c r="C12" t="e">
        <f>AND(#REF!,"AAAAAD/f/gI=")</f>
        <v>#REF!</v>
      </c>
      <c r="D12" t="e">
        <f>AND(#REF!,"AAAAAD/f/gM=")</f>
        <v>#REF!</v>
      </c>
      <c r="E12" t="e">
        <f>AND(#REF!,"AAAAAD/f/gQ=")</f>
        <v>#REF!</v>
      </c>
      <c r="F12" t="e">
        <f>AND(#REF!,"AAAAAD/f/gU=")</f>
        <v>#REF!</v>
      </c>
      <c r="G12" t="e">
        <f>AND(#REF!,"AAAAAD/f/gY=")</f>
        <v>#REF!</v>
      </c>
      <c r="H12" t="e">
        <f>AND(#REF!,"AAAAAD/f/gc=")</f>
        <v>#REF!</v>
      </c>
      <c r="I12" t="e">
        <f>IF(#REF!,"AAAAAD/f/gg=",0)</f>
        <v>#REF!</v>
      </c>
      <c r="J12" t="e">
        <f>AND(#REF!,"AAAAAD/f/gk=")</f>
        <v>#REF!</v>
      </c>
      <c r="K12" t="e">
        <f>AND(#REF!,"AAAAAD/f/go=")</f>
        <v>#REF!</v>
      </c>
      <c r="L12" t="e">
        <f>AND(#REF!,"AAAAAD/f/gs=")</f>
        <v>#REF!</v>
      </c>
      <c r="M12" t="e">
        <f>AND(#REF!,"AAAAAD/f/gw=")</f>
        <v>#REF!</v>
      </c>
      <c r="N12" t="e">
        <f>AND(#REF!,"AAAAAD/f/g0=")</f>
        <v>#REF!</v>
      </c>
      <c r="O12" t="e">
        <f>AND(#REF!,"AAAAAD/f/g4=")</f>
        <v>#REF!</v>
      </c>
      <c r="P12" t="e">
        <f>AND(#REF!,"AAAAAD/f/g8=")</f>
        <v>#REF!</v>
      </c>
      <c r="Q12" t="e">
        <f>AND(#REF!,"AAAAAD/f/hA=")</f>
        <v>#REF!</v>
      </c>
      <c r="R12" t="e">
        <f>AND(#REF!,"AAAAAD/f/hE=")</f>
        <v>#REF!</v>
      </c>
      <c r="S12" t="e">
        <f>AND(#REF!,"AAAAAD/f/hI=")</f>
        <v>#REF!</v>
      </c>
      <c r="T12" t="e">
        <f>AND(#REF!,"AAAAAD/f/hM=")</f>
        <v>#REF!</v>
      </c>
      <c r="U12" t="e">
        <f>AND(#REF!,"AAAAAD/f/hQ=")</f>
        <v>#REF!</v>
      </c>
      <c r="V12" t="e">
        <f>IF(#REF!,"AAAAAD/f/hU=",0)</f>
        <v>#REF!</v>
      </c>
      <c r="W12" t="e">
        <f>AND(#REF!,"AAAAAD/f/hY=")</f>
        <v>#REF!</v>
      </c>
      <c r="X12" t="e">
        <f>AND(#REF!,"AAAAAD/f/hc=")</f>
        <v>#REF!</v>
      </c>
      <c r="Y12" t="e">
        <f>AND(#REF!,"AAAAAD/f/hg=")</f>
        <v>#REF!</v>
      </c>
      <c r="Z12" t="e">
        <f>AND(#REF!,"AAAAAD/f/hk=")</f>
        <v>#REF!</v>
      </c>
      <c r="AA12" t="e">
        <f>AND(#REF!,"AAAAAD/f/ho=")</f>
        <v>#REF!</v>
      </c>
      <c r="AB12" t="e">
        <f>AND(#REF!,"AAAAAD/f/hs=")</f>
        <v>#REF!</v>
      </c>
      <c r="AC12" t="e">
        <f>AND(#REF!,"AAAAAD/f/hw=")</f>
        <v>#REF!</v>
      </c>
      <c r="AD12" t="e">
        <f>AND(#REF!,"AAAAAD/f/h0=")</f>
        <v>#REF!</v>
      </c>
      <c r="AE12" t="e">
        <f>AND(#REF!,"AAAAAD/f/h4=")</f>
        <v>#REF!</v>
      </c>
      <c r="AF12" t="e">
        <f>AND(#REF!,"AAAAAD/f/h8=")</f>
        <v>#REF!</v>
      </c>
      <c r="AG12" t="e">
        <f>AND(#REF!,"AAAAAD/f/iA=")</f>
        <v>#REF!</v>
      </c>
      <c r="AH12" t="e">
        <f>AND(#REF!,"AAAAAD/f/iE=")</f>
        <v>#REF!</v>
      </c>
      <c r="AI12" t="e">
        <f>IF(#REF!,"AAAAAD/f/iI=",0)</f>
        <v>#REF!</v>
      </c>
      <c r="AJ12" t="e">
        <f>AND(#REF!,"AAAAAD/f/iM=")</f>
        <v>#REF!</v>
      </c>
      <c r="AK12" t="e">
        <f>AND(#REF!,"AAAAAD/f/iQ=")</f>
        <v>#REF!</v>
      </c>
      <c r="AL12" t="e">
        <f>AND(#REF!,"AAAAAD/f/iU=")</f>
        <v>#REF!</v>
      </c>
      <c r="AM12" t="e">
        <f>AND(#REF!,"AAAAAD/f/iY=")</f>
        <v>#REF!</v>
      </c>
      <c r="AN12" t="e">
        <f>AND(#REF!,"AAAAAD/f/ic=")</f>
        <v>#REF!</v>
      </c>
      <c r="AO12" t="e">
        <f>AND(#REF!,"AAAAAD/f/ig=")</f>
        <v>#REF!</v>
      </c>
      <c r="AP12" t="e">
        <f>AND(#REF!,"AAAAAD/f/ik=")</f>
        <v>#REF!</v>
      </c>
      <c r="AQ12" t="e">
        <f>AND(#REF!,"AAAAAD/f/io=")</f>
        <v>#REF!</v>
      </c>
      <c r="AR12" t="e">
        <f>AND(#REF!,"AAAAAD/f/is=")</f>
        <v>#REF!</v>
      </c>
      <c r="AS12" t="e">
        <f>AND(#REF!,"AAAAAD/f/iw=")</f>
        <v>#REF!</v>
      </c>
      <c r="AT12" t="e">
        <f>AND(#REF!,"AAAAAD/f/i0=")</f>
        <v>#REF!</v>
      </c>
      <c r="AU12" t="e">
        <f>AND(#REF!,"AAAAAD/f/i4=")</f>
        <v>#REF!</v>
      </c>
      <c r="AV12" t="e">
        <f>IF(#REF!,"AAAAAD/f/i8=",0)</f>
        <v>#REF!</v>
      </c>
      <c r="AW12" t="e">
        <f>AND(#REF!,"AAAAAD/f/jA=")</f>
        <v>#REF!</v>
      </c>
      <c r="AX12" t="e">
        <f>AND(#REF!,"AAAAAD/f/jE=")</f>
        <v>#REF!</v>
      </c>
      <c r="AY12" t="e">
        <f>AND(#REF!,"AAAAAD/f/jI=")</f>
        <v>#REF!</v>
      </c>
      <c r="AZ12" t="e">
        <f>AND(#REF!,"AAAAAD/f/jM=")</f>
        <v>#REF!</v>
      </c>
      <c r="BA12" t="e">
        <f>AND(#REF!,"AAAAAD/f/jQ=")</f>
        <v>#REF!</v>
      </c>
      <c r="BB12" t="e">
        <f>AND(#REF!,"AAAAAD/f/jU=")</f>
        <v>#REF!</v>
      </c>
      <c r="BC12" t="e">
        <f>AND(#REF!,"AAAAAD/f/jY=")</f>
        <v>#REF!</v>
      </c>
      <c r="BD12" t="e">
        <f>AND(#REF!,"AAAAAD/f/jc=")</f>
        <v>#REF!</v>
      </c>
      <c r="BE12" t="e">
        <f>AND(#REF!,"AAAAAD/f/jg=")</f>
        <v>#REF!</v>
      </c>
      <c r="BF12" t="e">
        <f>AND(#REF!,"AAAAAD/f/jk=")</f>
        <v>#REF!</v>
      </c>
      <c r="BG12" t="e">
        <f>AND(#REF!,"AAAAAD/f/jo=")</f>
        <v>#REF!</v>
      </c>
      <c r="BH12" t="e">
        <f>AND(#REF!,"AAAAAD/f/js=")</f>
        <v>#REF!</v>
      </c>
      <c r="BI12" t="e">
        <f>IF(#REF!,"AAAAAD/f/jw=",0)</f>
        <v>#REF!</v>
      </c>
      <c r="BJ12" t="e">
        <f>AND(#REF!,"AAAAAD/f/j0=")</f>
        <v>#REF!</v>
      </c>
      <c r="BK12" t="e">
        <f>AND(#REF!,"AAAAAD/f/j4=")</f>
        <v>#REF!</v>
      </c>
      <c r="BL12" t="e">
        <f>AND(#REF!,"AAAAAD/f/j8=")</f>
        <v>#REF!</v>
      </c>
      <c r="BM12" t="e">
        <f>AND(#REF!,"AAAAAD/f/kA=")</f>
        <v>#REF!</v>
      </c>
      <c r="BN12" t="e">
        <f>AND(#REF!,"AAAAAD/f/kE=")</f>
        <v>#REF!</v>
      </c>
      <c r="BO12" t="e">
        <f>AND(#REF!,"AAAAAD/f/kI=")</f>
        <v>#REF!</v>
      </c>
      <c r="BP12" t="e">
        <f>AND(#REF!,"AAAAAD/f/kM=")</f>
        <v>#REF!</v>
      </c>
      <c r="BQ12" t="e">
        <f>AND(#REF!,"AAAAAD/f/kQ=")</f>
        <v>#REF!</v>
      </c>
      <c r="BR12" t="e">
        <f>AND(#REF!,"AAAAAD/f/kU=")</f>
        <v>#REF!</v>
      </c>
      <c r="BS12" t="e">
        <f>AND(#REF!,"AAAAAD/f/kY=")</f>
        <v>#REF!</v>
      </c>
      <c r="BT12" t="e">
        <f>AND(#REF!,"AAAAAD/f/kc=")</f>
        <v>#REF!</v>
      </c>
      <c r="BU12" t="e">
        <f>AND(#REF!,"AAAAAD/f/kg=")</f>
        <v>#REF!</v>
      </c>
      <c r="BV12" t="e">
        <f>IF(#REF!,"AAAAAD/f/kk=",0)</f>
        <v>#REF!</v>
      </c>
      <c r="BW12" t="e">
        <f>AND(#REF!,"AAAAAD/f/ko=")</f>
        <v>#REF!</v>
      </c>
      <c r="BX12" t="e">
        <f>AND(#REF!,"AAAAAD/f/ks=")</f>
        <v>#REF!</v>
      </c>
      <c r="BY12" t="e">
        <f>AND(#REF!,"AAAAAD/f/kw=")</f>
        <v>#REF!</v>
      </c>
      <c r="BZ12" t="e">
        <f>AND(#REF!,"AAAAAD/f/k0=")</f>
        <v>#REF!</v>
      </c>
      <c r="CA12" t="e">
        <f>AND(#REF!,"AAAAAD/f/k4=")</f>
        <v>#REF!</v>
      </c>
      <c r="CB12" t="e">
        <f>AND(#REF!,"AAAAAD/f/k8=")</f>
        <v>#REF!</v>
      </c>
      <c r="CC12" t="e">
        <f>AND(#REF!,"AAAAAD/f/lA=")</f>
        <v>#REF!</v>
      </c>
      <c r="CD12" t="e">
        <f>AND(#REF!,"AAAAAD/f/lE=")</f>
        <v>#REF!</v>
      </c>
      <c r="CE12" t="e">
        <f>AND(#REF!,"AAAAAD/f/lI=")</f>
        <v>#REF!</v>
      </c>
      <c r="CF12" t="e">
        <f>AND(#REF!,"AAAAAD/f/lM=")</f>
        <v>#REF!</v>
      </c>
      <c r="CG12" t="e">
        <f>AND(#REF!,"AAAAAD/f/lQ=")</f>
        <v>#REF!</v>
      </c>
      <c r="CH12" t="e">
        <f>AND(#REF!,"AAAAAD/f/lU=")</f>
        <v>#REF!</v>
      </c>
      <c r="CI12" t="e">
        <f>IF(#REF!,"AAAAAD/f/lY=",0)</f>
        <v>#REF!</v>
      </c>
      <c r="CJ12" t="e">
        <f>AND(#REF!,"AAAAAD/f/lc=")</f>
        <v>#REF!</v>
      </c>
      <c r="CK12" t="e">
        <f>AND(#REF!,"AAAAAD/f/lg=")</f>
        <v>#REF!</v>
      </c>
      <c r="CL12" t="e">
        <f>AND(#REF!,"AAAAAD/f/lk=")</f>
        <v>#REF!</v>
      </c>
      <c r="CM12" t="e">
        <f>AND(#REF!,"AAAAAD/f/lo=")</f>
        <v>#REF!</v>
      </c>
      <c r="CN12" t="e">
        <f>AND(#REF!,"AAAAAD/f/ls=")</f>
        <v>#REF!</v>
      </c>
      <c r="CO12" t="e">
        <f>AND(#REF!,"AAAAAD/f/lw=")</f>
        <v>#REF!</v>
      </c>
      <c r="CP12" t="e">
        <f>AND(#REF!,"AAAAAD/f/l0=")</f>
        <v>#REF!</v>
      </c>
      <c r="CQ12" t="e">
        <f>AND(#REF!,"AAAAAD/f/l4=")</f>
        <v>#REF!</v>
      </c>
      <c r="CR12" t="e">
        <f>AND(#REF!,"AAAAAD/f/l8=")</f>
        <v>#REF!</v>
      </c>
      <c r="CS12" t="e">
        <f>AND(#REF!,"AAAAAD/f/mA=")</f>
        <v>#REF!</v>
      </c>
      <c r="CT12" t="e">
        <f>AND(#REF!,"AAAAAD/f/mE=")</f>
        <v>#REF!</v>
      </c>
      <c r="CU12" t="e">
        <f>AND(#REF!,"AAAAAD/f/mI=")</f>
        <v>#REF!</v>
      </c>
      <c r="CV12" t="e">
        <f>IF(#REF!,"AAAAAD/f/mM=",0)</f>
        <v>#REF!</v>
      </c>
      <c r="CW12" t="e">
        <f>AND(#REF!,"AAAAAD/f/mQ=")</f>
        <v>#REF!</v>
      </c>
      <c r="CX12" t="e">
        <f>AND(#REF!,"AAAAAD/f/mU=")</f>
        <v>#REF!</v>
      </c>
      <c r="CY12" t="e">
        <f>AND(#REF!,"AAAAAD/f/mY=")</f>
        <v>#REF!</v>
      </c>
      <c r="CZ12" t="e">
        <f>AND(#REF!,"AAAAAD/f/mc=")</f>
        <v>#REF!</v>
      </c>
      <c r="DA12" t="e">
        <f>AND(#REF!,"AAAAAD/f/mg=")</f>
        <v>#REF!</v>
      </c>
      <c r="DB12" t="e">
        <f>AND(#REF!,"AAAAAD/f/mk=")</f>
        <v>#REF!</v>
      </c>
      <c r="DC12" t="e">
        <f>AND(#REF!,"AAAAAD/f/mo=")</f>
        <v>#REF!</v>
      </c>
      <c r="DD12" t="e">
        <f>AND(#REF!,"AAAAAD/f/ms=")</f>
        <v>#REF!</v>
      </c>
      <c r="DE12" t="e">
        <f>AND(#REF!,"AAAAAD/f/mw=")</f>
        <v>#REF!</v>
      </c>
      <c r="DF12" t="e">
        <f>AND(#REF!,"AAAAAD/f/m0=")</f>
        <v>#REF!</v>
      </c>
      <c r="DG12" t="e">
        <f>AND(#REF!,"AAAAAD/f/m4=")</f>
        <v>#REF!</v>
      </c>
      <c r="DH12" t="e">
        <f>AND(#REF!,"AAAAAD/f/m8=")</f>
        <v>#REF!</v>
      </c>
      <c r="DI12" t="e">
        <f>IF(#REF!,"AAAAAD/f/nA=",0)</f>
        <v>#REF!</v>
      </c>
      <c r="DJ12" t="e">
        <f>AND(#REF!,"AAAAAD/f/nE=")</f>
        <v>#REF!</v>
      </c>
      <c r="DK12" t="e">
        <f>AND(#REF!,"AAAAAD/f/nI=")</f>
        <v>#REF!</v>
      </c>
      <c r="DL12" t="e">
        <f>AND(#REF!,"AAAAAD/f/nM=")</f>
        <v>#REF!</v>
      </c>
      <c r="DM12" t="e">
        <f>AND(#REF!,"AAAAAD/f/nQ=")</f>
        <v>#REF!</v>
      </c>
      <c r="DN12" t="e">
        <f>AND(#REF!,"AAAAAD/f/nU=")</f>
        <v>#REF!</v>
      </c>
      <c r="DO12" t="e">
        <f>AND(#REF!,"AAAAAD/f/nY=")</f>
        <v>#REF!</v>
      </c>
      <c r="DP12" t="e">
        <f>AND(#REF!,"AAAAAD/f/nc=")</f>
        <v>#REF!</v>
      </c>
      <c r="DQ12" t="e">
        <f>AND(#REF!,"AAAAAD/f/ng=")</f>
        <v>#REF!</v>
      </c>
      <c r="DR12" t="e">
        <f>AND(#REF!,"AAAAAD/f/nk=")</f>
        <v>#REF!</v>
      </c>
      <c r="DS12" t="e">
        <f>AND(#REF!,"AAAAAD/f/no=")</f>
        <v>#REF!</v>
      </c>
      <c r="DT12" t="e">
        <f>AND(#REF!,"AAAAAD/f/ns=")</f>
        <v>#REF!</v>
      </c>
      <c r="DU12" t="e">
        <f>AND(#REF!,"AAAAAD/f/nw=")</f>
        <v>#REF!</v>
      </c>
      <c r="DV12" t="e">
        <f>IF(#REF!,"AAAAAD/f/n0=",0)</f>
        <v>#REF!</v>
      </c>
      <c r="DW12" t="e">
        <f>AND(#REF!,"AAAAAD/f/n4=")</f>
        <v>#REF!</v>
      </c>
      <c r="DX12" t="e">
        <f>AND(#REF!,"AAAAAD/f/n8=")</f>
        <v>#REF!</v>
      </c>
      <c r="DY12" t="e">
        <f>AND(#REF!,"AAAAAD/f/oA=")</f>
        <v>#REF!</v>
      </c>
      <c r="DZ12" t="e">
        <f>AND(#REF!,"AAAAAD/f/oE=")</f>
        <v>#REF!</v>
      </c>
      <c r="EA12" t="e">
        <f>AND(#REF!,"AAAAAD/f/oI=")</f>
        <v>#REF!</v>
      </c>
      <c r="EB12" t="e">
        <f>AND(#REF!,"AAAAAD/f/oM=")</f>
        <v>#REF!</v>
      </c>
      <c r="EC12" t="e">
        <f>AND(#REF!,"AAAAAD/f/oQ=")</f>
        <v>#REF!</v>
      </c>
      <c r="ED12" t="e">
        <f>AND(#REF!,"AAAAAD/f/oU=")</f>
        <v>#REF!</v>
      </c>
      <c r="EE12" t="e">
        <f>AND(#REF!,"AAAAAD/f/oY=")</f>
        <v>#REF!</v>
      </c>
      <c r="EF12" t="e">
        <f>AND(#REF!,"AAAAAD/f/oc=")</f>
        <v>#REF!</v>
      </c>
      <c r="EG12" t="e">
        <f>AND(#REF!,"AAAAAD/f/og=")</f>
        <v>#REF!</v>
      </c>
      <c r="EH12" t="e">
        <f>AND(#REF!,"AAAAAD/f/ok=")</f>
        <v>#REF!</v>
      </c>
      <c r="EI12" t="e">
        <f>IF(#REF!,"AAAAAD/f/oo=",0)</f>
        <v>#REF!</v>
      </c>
      <c r="EJ12" t="e">
        <f>AND(#REF!,"AAAAAD/f/os=")</f>
        <v>#REF!</v>
      </c>
      <c r="EK12" t="e">
        <f>AND(#REF!,"AAAAAD/f/ow=")</f>
        <v>#REF!</v>
      </c>
      <c r="EL12" t="e">
        <f>AND(#REF!,"AAAAAD/f/o0=")</f>
        <v>#REF!</v>
      </c>
      <c r="EM12" t="e">
        <f>AND(#REF!,"AAAAAD/f/o4=")</f>
        <v>#REF!</v>
      </c>
      <c r="EN12" t="e">
        <f>AND(#REF!,"AAAAAD/f/o8=")</f>
        <v>#REF!</v>
      </c>
      <c r="EO12" t="e">
        <f>AND(#REF!,"AAAAAD/f/pA=")</f>
        <v>#REF!</v>
      </c>
      <c r="EP12" t="e">
        <f>AND(#REF!,"AAAAAD/f/pE=")</f>
        <v>#REF!</v>
      </c>
      <c r="EQ12" t="e">
        <f>AND(#REF!,"AAAAAD/f/pI=")</f>
        <v>#REF!</v>
      </c>
      <c r="ER12" t="e">
        <f>AND(#REF!,"AAAAAD/f/pM=")</f>
        <v>#REF!</v>
      </c>
      <c r="ES12" t="e">
        <f>AND(#REF!,"AAAAAD/f/pQ=")</f>
        <v>#REF!</v>
      </c>
      <c r="ET12" t="e">
        <f>AND(#REF!,"AAAAAD/f/pU=")</f>
        <v>#REF!</v>
      </c>
      <c r="EU12" t="e">
        <f>AND(#REF!,"AAAAAD/f/pY=")</f>
        <v>#REF!</v>
      </c>
      <c r="EV12" t="e">
        <f>IF(#REF!,"AAAAAD/f/pc=",0)</f>
        <v>#REF!</v>
      </c>
      <c r="EW12" t="e">
        <f>AND(#REF!,"AAAAAD/f/pg=")</f>
        <v>#REF!</v>
      </c>
      <c r="EX12" t="e">
        <f>AND(#REF!,"AAAAAD/f/pk=")</f>
        <v>#REF!</v>
      </c>
      <c r="EY12" t="e">
        <f>AND(#REF!,"AAAAAD/f/po=")</f>
        <v>#REF!</v>
      </c>
      <c r="EZ12" t="e">
        <f>AND(#REF!,"AAAAAD/f/ps=")</f>
        <v>#REF!</v>
      </c>
      <c r="FA12" t="e">
        <f>AND(#REF!,"AAAAAD/f/pw=")</f>
        <v>#REF!</v>
      </c>
      <c r="FB12" t="e">
        <f>AND(#REF!,"AAAAAD/f/p0=")</f>
        <v>#REF!</v>
      </c>
      <c r="FC12" t="e">
        <f>AND(#REF!,"AAAAAD/f/p4=")</f>
        <v>#REF!</v>
      </c>
      <c r="FD12" t="e">
        <f>AND(#REF!,"AAAAAD/f/p8=")</f>
        <v>#REF!</v>
      </c>
      <c r="FE12" t="e">
        <f>AND(#REF!,"AAAAAD/f/qA=")</f>
        <v>#REF!</v>
      </c>
      <c r="FF12" t="e">
        <f>AND(#REF!,"AAAAAD/f/qE=")</f>
        <v>#REF!</v>
      </c>
      <c r="FG12" t="e">
        <f>AND(#REF!,"AAAAAD/f/qI=")</f>
        <v>#REF!</v>
      </c>
      <c r="FH12" t="e">
        <f>AND(#REF!,"AAAAAD/f/qM=")</f>
        <v>#REF!</v>
      </c>
      <c r="FI12" t="e">
        <f>IF(#REF!,"AAAAAD/f/qQ=",0)</f>
        <v>#REF!</v>
      </c>
      <c r="FJ12" t="e">
        <f>AND(#REF!,"AAAAAD/f/qU=")</f>
        <v>#REF!</v>
      </c>
      <c r="FK12" t="e">
        <f>AND(#REF!,"AAAAAD/f/qY=")</f>
        <v>#REF!</v>
      </c>
      <c r="FL12" t="e">
        <f>AND(#REF!,"AAAAAD/f/qc=")</f>
        <v>#REF!</v>
      </c>
      <c r="FM12" t="e">
        <f>AND(#REF!,"AAAAAD/f/qg=")</f>
        <v>#REF!</v>
      </c>
      <c r="FN12" t="e">
        <f>AND(#REF!,"AAAAAD/f/qk=")</f>
        <v>#REF!</v>
      </c>
      <c r="FO12" t="e">
        <f>AND(#REF!,"AAAAAD/f/qo=")</f>
        <v>#REF!</v>
      </c>
      <c r="FP12" t="e">
        <f>AND(#REF!,"AAAAAD/f/qs=")</f>
        <v>#REF!</v>
      </c>
      <c r="FQ12" t="e">
        <f>AND(#REF!,"AAAAAD/f/qw=")</f>
        <v>#REF!</v>
      </c>
      <c r="FR12" t="e">
        <f>AND(#REF!,"AAAAAD/f/q0=")</f>
        <v>#REF!</v>
      </c>
      <c r="FS12" t="e">
        <f>AND(#REF!,"AAAAAD/f/q4=")</f>
        <v>#REF!</v>
      </c>
      <c r="FT12" t="e">
        <f>AND(#REF!,"AAAAAD/f/q8=")</f>
        <v>#REF!</v>
      </c>
      <c r="FU12" t="e">
        <f>AND(#REF!,"AAAAAD/f/rA=")</f>
        <v>#REF!</v>
      </c>
      <c r="FV12" t="e">
        <f>IF(#REF!,"AAAAAD/f/rE=",0)</f>
        <v>#REF!</v>
      </c>
      <c r="FW12" t="e">
        <f>AND(#REF!,"AAAAAD/f/rI=")</f>
        <v>#REF!</v>
      </c>
      <c r="FX12" t="e">
        <f>AND(#REF!,"AAAAAD/f/rM=")</f>
        <v>#REF!</v>
      </c>
      <c r="FY12" t="e">
        <f>AND(#REF!,"AAAAAD/f/rQ=")</f>
        <v>#REF!</v>
      </c>
      <c r="FZ12" t="e">
        <f>AND(#REF!,"AAAAAD/f/rU=")</f>
        <v>#REF!</v>
      </c>
      <c r="GA12" t="e">
        <f>AND(#REF!,"AAAAAD/f/rY=")</f>
        <v>#REF!</v>
      </c>
      <c r="GB12" t="e">
        <f>AND(#REF!,"AAAAAD/f/rc=")</f>
        <v>#REF!</v>
      </c>
      <c r="GC12" t="e">
        <f>AND(#REF!,"AAAAAD/f/rg=")</f>
        <v>#REF!</v>
      </c>
      <c r="GD12" t="e">
        <f>AND(#REF!,"AAAAAD/f/rk=")</f>
        <v>#REF!</v>
      </c>
      <c r="GE12" t="e">
        <f>AND(#REF!,"AAAAAD/f/ro=")</f>
        <v>#REF!</v>
      </c>
      <c r="GF12" t="e">
        <f>AND(#REF!,"AAAAAD/f/rs=")</f>
        <v>#REF!</v>
      </c>
      <c r="GG12" t="e">
        <f>AND(#REF!,"AAAAAD/f/rw=")</f>
        <v>#REF!</v>
      </c>
      <c r="GH12" t="e">
        <f>AND(#REF!,"AAAAAD/f/r0=")</f>
        <v>#REF!</v>
      </c>
      <c r="GI12" t="e">
        <f>IF(#REF!,"AAAAAD/f/r4=",0)</f>
        <v>#REF!</v>
      </c>
      <c r="GJ12" t="e">
        <f>AND(#REF!,"AAAAAD/f/r8=")</f>
        <v>#REF!</v>
      </c>
      <c r="GK12" t="e">
        <f>AND(#REF!,"AAAAAD/f/sA=")</f>
        <v>#REF!</v>
      </c>
      <c r="GL12" t="e">
        <f>AND(#REF!,"AAAAAD/f/sE=")</f>
        <v>#REF!</v>
      </c>
      <c r="GM12" t="e">
        <f>AND(#REF!,"AAAAAD/f/sI=")</f>
        <v>#REF!</v>
      </c>
      <c r="GN12" t="e">
        <f>AND(#REF!,"AAAAAD/f/sM=")</f>
        <v>#REF!</v>
      </c>
      <c r="GO12" t="e">
        <f>AND(#REF!,"AAAAAD/f/sQ=")</f>
        <v>#REF!</v>
      </c>
      <c r="GP12" t="e">
        <f>AND(#REF!,"AAAAAD/f/sU=")</f>
        <v>#REF!</v>
      </c>
      <c r="GQ12" t="e">
        <f>AND(#REF!,"AAAAAD/f/sY=")</f>
        <v>#REF!</v>
      </c>
      <c r="GR12" t="e">
        <f>AND(#REF!,"AAAAAD/f/sc=")</f>
        <v>#REF!</v>
      </c>
      <c r="GS12" t="e">
        <f>AND(#REF!,"AAAAAD/f/sg=")</f>
        <v>#REF!</v>
      </c>
      <c r="GT12" t="e">
        <f>AND(#REF!,"AAAAAD/f/sk=")</f>
        <v>#REF!</v>
      </c>
      <c r="GU12" t="e">
        <f>AND(#REF!,"AAAAAD/f/so=")</f>
        <v>#REF!</v>
      </c>
      <c r="GV12" t="e">
        <f>IF(#REF!,"AAAAAD/f/ss=",0)</f>
        <v>#REF!</v>
      </c>
      <c r="GW12" t="e">
        <f>AND(#REF!,"AAAAAD/f/sw=")</f>
        <v>#REF!</v>
      </c>
      <c r="GX12" t="e">
        <f>AND(#REF!,"AAAAAD/f/s0=")</f>
        <v>#REF!</v>
      </c>
      <c r="GY12" t="e">
        <f>AND(#REF!,"AAAAAD/f/s4=")</f>
        <v>#REF!</v>
      </c>
      <c r="GZ12" t="e">
        <f>AND(#REF!,"AAAAAD/f/s8=")</f>
        <v>#REF!</v>
      </c>
      <c r="HA12" t="e">
        <f>AND(#REF!,"AAAAAD/f/tA=")</f>
        <v>#REF!</v>
      </c>
      <c r="HB12" t="e">
        <f>AND(#REF!,"AAAAAD/f/tE=")</f>
        <v>#REF!</v>
      </c>
      <c r="HC12" t="e">
        <f>AND(#REF!,"AAAAAD/f/tI=")</f>
        <v>#REF!</v>
      </c>
      <c r="HD12" t="e">
        <f>AND(#REF!,"AAAAAD/f/tM=")</f>
        <v>#REF!</v>
      </c>
      <c r="HE12" t="e">
        <f>AND(#REF!,"AAAAAD/f/tQ=")</f>
        <v>#REF!</v>
      </c>
      <c r="HF12" t="e">
        <f>AND(#REF!,"AAAAAD/f/tU=")</f>
        <v>#REF!</v>
      </c>
      <c r="HG12" t="e">
        <f>AND(#REF!,"AAAAAD/f/tY=")</f>
        <v>#REF!</v>
      </c>
      <c r="HH12" t="e">
        <f>AND(#REF!,"AAAAAD/f/tc=")</f>
        <v>#REF!</v>
      </c>
      <c r="HI12" t="e">
        <f>IF(#REF!,"AAAAAD/f/tg=",0)</f>
        <v>#REF!</v>
      </c>
      <c r="HJ12" t="e">
        <f>AND(#REF!,"AAAAAD/f/tk=")</f>
        <v>#REF!</v>
      </c>
      <c r="HK12" t="e">
        <f>AND(#REF!,"AAAAAD/f/to=")</f>
        <v>#REF!</v>
      </c>
      <c r="HL12" t="e">
        <f>AND(#REF!,"AAAAAD/f/ts=")</f>
        <v>#REF!</v>
      </c>
      <c r="HM12" t="e">
        <f>AND(#REF!,"AAAAAD/f/tw=")</f>
        <v>#REF!</v>
      </c>
      <c r="HN12" t="e">
        <f>AND(#REF!,"AAAAAD/f/t0=")</f>
        <v>#REF!</v>
      </c>
      <c r="HO12" t="e">
        <f>AND(#REF!,"AAAAAD/f/t4=")</f>
        <v>#REF!</v>
      </c>
      <c r="HP12" t="e">
        <f>AND(#REF!,"AAAAAD/f/t8=")</f>
        <v>#REF!</v>
      </c>
      <c r="HQ12" t="e">
        <f>AND(#REF!,"AAAAAD/f/uA=")</f>
        <v>#REF!</v>
      </c>
      <c r="HR12" t="e">
        <f>AND(#REF!,"AAAAAD/f/uE=")</f>
        <v>#REF!</v>
      </c>
      <c r="HS12" t="e">
        <f>AND(#REF!,"AAAAAD/f/uI=")</f>
        <v>#REF!</v>
      </c>
      <c r="HT12" t="e">
        <f>AND(#REF!,"AAAAAD/f/uM=")</f>
        <v>#REF!</v>
      </c>
      <c r="HU12" t="e">
        <f>AND(#REF!,"AAAAAD/f/uQ=")</f>
        <v>#REF!</v>
      </c>
      <c r="HV12" t="e">
        <f>IF(#REF!,"AAAAAD/f/uU=",0)</f>
        <v>#REF!</v>
      </c>
      <c r="HW12" t="e">
        <f>AND(#REF!,"AAAAAD/f/uY=")</f>
        <v>#REF!</v>
      </c>
      <c r="HX12" t="e">
        <f>AND(#REF!,"AAAAAD/f/uc=")</f>
        <v>#REF!</v>
      </c>
      <c r="HY12" t="e">
        <f>AND(#REF!,"AAAAAD/f/ug=")</f>
        <v>#REF!</v>
      </c>
      <c r="HZ12" t="e">
        <f>AND(#REF!,"AAAAAD/f/uk=")</f>
        <v>#REF!</v>
      </c>
      <c r="IA12" t="e">
        <f>AND(#REF!,"AAAAAD/f/uo=")</f>
        <v>#REF!</v>
      </c>
      <c r="IB12" t="e">
        <f>AND(#REF!,"AAAAAD/f/us=")</f>
        <v>#REF!</v>
      </c>
      <c r="IC12" t="e">
        <f>AND(#REF!,"AAAAAD/f/uw=")</f>
        <v>#REF!</v>
      </c>
      <c r="ID12" t="e">
        <f>AND(#REF!,"AAAAAD/f/u0=")</f>
        <v>#REF!</v>
      </c>
      <c r="IE12" t="e">
        <f>AND(#REF!,"AAAAAD/f/u4=")</f>
        <v>#REF!</v>
      </c>
      <c r="IF12" t="e">
        <f>AND(#REF!,"AAAAAD/f/u8=")</f>
        <v>#REF!</v>
      </c>
      <c r="IG12" t="e">
        <f>AND(#REF!,"AAAAAD/f/vA=")</f>
        <v>#REF!</v>
      </c>
      <c r="IH12" t="e">
        <f>AND(#REF!,"AAAAAD/f/vE=")</f>
        <v>#REF!</v>
      </c>
      <c r="II12" t="e">
        <f>IF(#REF!,"AAAAAD/f/vI=",0)</f>
        <v>#REF!</v>
      </c>
      <c r="IJ12" t="e">
        <f>AND(#REF!,"AAAAAD/f/vM=")</f>
        <v>#REF!</v>
      </c>
      <c r="IK12" t="e">
        <f>AND(#REF!,"AAAAAD/f/vQ=")</f>
        <v>#REF!</v>
      </c>
      <c r="IL12" t="e">
        <f>AND(#REF!,"AAAAAD/f/vU=")</f>
        <v>#REF!</v>
      </c>
      <c r="IM12" t="e">
        <f>AND(#REF!,"AAAAAD/f/vY=")</f>
        <v>#REF!</v>
      </c>
      <c r="IN12" t="e">
        <f>AND(#REF!,"AAAAAD/f/vc=")</f>
        <v>#REF!</v>
      </c>
      <c r="IO12" t="e">
        <f>AND(#REF!,"AAAAAD/f/vg=")</f>
        <v>#REF!</v>
      </c>
      <c r="IP12" t="e">
        <f>AND(#REF!,"AAAAAD/f/vk=")</f>
        <v>#REF!</v>
      </c>
      <c r="IQ12" t="e">
        <f>AND(#REF!,"AAAAAD/f/vo=")</f>
        <v>#REF!</v>
      </c>
      <c r="IR12" t="e">
        <f>AND(#REF!,"AAAAAD/f/vs=")</f>
        <v>#REF!</v>
      </c>
      <c r="IS12" t="e">
        <f>AND(#REF!,"AAAAAD/f/vw=")</f>
        <v>#REF!</v>
      </c>
      <c r="IT12" t="e">
        <f>AND(#REF!,"AAAAAD/f/v0=")</f>
        <v>#REF!</v>
      </c>
      <c r="IU12" t="e">
        <f>AND(#REF!,"AAAAAD/f/v4=")</f>
        <v>#REF!</v>
      </c>
      <c r="IV12" t="e">
        <f>IF(#REF!,"AAAAAD/f/v8=",0)</f>
        <v>#REF!</v>
      </c>
    </row>
    <row r="13" spans="1:256">
      <c r="A13" t="e">
        <f>AND(#REF!,"AAAAAD/99wA=")</f>
        <v>#REF!</v>
      </c>
      <c r="B13" t="e">
        <f>AND(#REF!,"AAAAAD/99wE=")</f>
        <v>#REF!</v>
      </c>
      <c r="C13" t="e">
        <f>AND(#REF!,"AAAAAD/99wI=")</f>
        <v>#REF!</v>
      </c>
      <c r="D13" t="e">
        <f>AND(#REF!,"AAAAAD/99wM=")</f>
        <v>#REF!</v>
      </c>
      <c r="E13" t="e">
        <f>AND(#REF!,"AAAAAD/99wQ=")</f>
        <v>#REF!</v>
      </c>
      <c r="F13" t="e">
        <f>AND(#REF!,"AAAAAD/99wU=")</f>
        <v>#REF!</v>
      </c>
      <c r="G13" t="e">
        <f>AND(#REF!,"AAAAAD/99wY=")</f>
        <v>#REF!</v>
      </c>
      <c r="H13" t="e">
        <f>AND(#REF!,"AAAAAD/99wc=")</f>
        <v>#REF!</v>
      </c>
      <c r="I13" t="e">
        <f>AND(#REF!,"AAAAAD/99wg=")</f>
        <v>#REF!</v>
      </c>
      <c r="J13" t="e">
        <f>AND(#REF!,"AAAAAD/99wk=")</f>
        <v>#REF!</v>
      </c>
      <c r="K13" t="e">
        <f>AND(#REF!,"AAAAAD/99wo=")</f>
        <v>#REF!</v>
      </c>
      <c r="L13" t="e">
        <f>AND(#REF!,"AAAAAD/99ws=")</f>
        <v>#REF!</v>
      </c>
      <c r="M13" t="e">
        <f>IF(#REF!,"AAAAAD/99ww=",0)</f>
        <v>#REF!</v>
      </c>
      <c r="N13" t="e">
        <f>AND(#REF!,"AAAAAD/99w0=")</f>
        <v>#REF!</v>
      </c>
      <c r="O13" t="e">
        <f>AND(#REF!,"AAAAAD/99w4=")</f>
        <v>#REF!</v>
      </c>
      <c r="P13" t="e">
        <f>AND(#REF!,"AAAAAD/99w8=")</f>
        <v>#REF!</v>
      </c>
      <c r="Q13" t="e">
        <f>AND(#REF!,"AAAAAD/99xA=")</f>
        <v>#REF!</v>
      </c>
      <c r="R13" t="e">
        <f>AND(#REF!,"AAAAAD/99xE=")</f>
        <v>#REF!</v>
      </c>
      <c r="S13" t="e">
        <f>AND(#REF!,"AAAAAD/99xI=")</f>
        <v>#REF!</v>
      </c>
      <c r="T13" t="e">
        <f>AND(#REF!,"AAAAAD/99xM=")</f>
        <v>#REF!</v>
      </c>
      <c r="U13" t="e">
        <f>AND(#REF!,"AAAAAD/99xQ=")</f>
        <v>#REF!</v>
      </c>
      <c r="V13" t="e">
        <f>AND(#REF!,"AAAAAD/99xU=")</f>
        <v>#REF!</v>
      </c>
      <c r="W13" t="e">
        <f>AND(#REF!,"AAAAAD/99xY=")</f>
        <v>#REF!</v>
      </c>
      <c r="X13" t="e">
        <f>AND(#REF!,"AAAAAD/99xc=")</f>
        <v>#REF!</v>
      </c>
      <c r="Y13" t="e">
        <f>AND(#REF!,"AAAAAD/99xg=")</f>
        <v>#REF!</v>
      </c>
      <c r="Z13" t="e">
        <f>IF(#REF!,"AAAAAD/99xk=",0)</f>
        <v>#REF!</v>
      </c>
      <c r="AA13" t="e">
        <f>AND(#REF!,"AAAAAD/99xo=")</f>
        <v>#REF!</v>
      </c>
      <c r="AB13" t="e">
        <f>AND(#REF!,"AAAAAD/99xs=")</f>
        <v>#REF!</v>
      </c>
      <c r="AC13" t="e">
        <f>AND(#REF!,"AAAAAD/99xw=")</f>
        <v>#REF!</v>
      </c>
      <c r="AD13" t="e">
        <f>AND(#REF!,"AAAAAD/99x0=")</f>
        <v>#REF!</v>
      </c>
      <c r="AE13" t="e">
        <f>AND(#REF!,"AAAAAD/99x4=")</f>
        <v>#REF!</v>
      </c>
      <c r="AF13" t="e">
        <f>AND(#REF!,"AAAAAD/99x8=")</f>
        <v>#REF!</v>
      </c>
      <c r="AG13" t="e">
        <f>AND(#REF!,"AAAAAD/99yA=")</f>
        <v>#REF!</v>
      </c>
      <c r="AH13" t="e">
        <f>AND(#REF!,"AAAAAD/99yE=")</f>
        <v>#REF!</v>
      </c>
      <c r="AI13" t="e">
        <f>AND(#REF!,"AAAAAD/99yI=")</f>
        <v>#REF!</v>
      </c>
      <c r="AJ13" t="e">
        <f>AND(#REF!,"AAAAAD/99yM=")</f>
        <v>#REF!</v>
      </c>
      <c r="AK13" t="e">
        <f>AND(#REF!,"AAAAAD/99yQ=")</f>
        <v>#REF!</v>
      </c>
      <c r="AL13" t="e">
        <f>AND(#REF!,"AAAAAD/99yU=")</f>
        <v>#REF!</v>
      </c>
      <c r="AM13" t="e">
        <f>IF(#REF!,"AAAAAD/99yY=",0)</f>
        <v>#REF!</v>
      </c>
      <c r="AN13" t="e">
        <f>AND(#REF!,"AAAAAD/99yc=")</f>
        <v>#REF!</v>
      </c>
      <c r="AO13" t="e">
        <f>AND(#REF!,"AAAAAD/99yg=")</f>
        <v>#REF!</v>
      </c>
      <c r="AP13" t="e">
        <f>AND(#REF!,"AAAAAD/99yk=")</f>
        <v>#REF!</v>
      </c>
      <c r="AQ13" t="e">
        <f>AND(#REF!,"AAAAAD/99yo=")</f>
        <v>#REF!</v>
      </c>
      <c r="AR13" t="e">
        <f>AND(#REF!,"AAAAAD/99ys=")</f>
        <v>#REF!</v>
      </c>
      <c r="AS13" t="e">
        <f>AND(#REF!,"AAAAAD/99yw=")</f>
        <v>#REF!</v>
      </c>
      <c r="AT13" t="e">
        <f>AND(#REF!,"AAAAAD/99y0=")</f>
        <v>#REF!</v>
      </c>
      <c r="AU13" t="e">
        <f>AND(#REF!,"AAAAAD/99y4=")</f>
        <v>#REF!</v>
      </c>
      <c r="AV13" t="e">
        <f>AND(#REF!,"AAAAAD/99y8=")</f>
        <v>#REF!</v>
      </c>
      <c r="AW13" t="e">
        <f>AND(#REF!,"AAAAAD/99zA=")</f>
        <v>#REF!</v>
      </c>
      <c r="AX13" t="e">
        <f>AND(#REF!,"AAAAAD/99zE=")</f>
        <v>#REF!</v>
      </c>
      <c r="AY13" t="e">
        <f>AND(#REF!,"AAAAAD/99zI=")</f>
        <v>#REF!</v>
      </c>
      <c r="AZ13" t="e">
        <f>IF(#REF!,"AAAAAD/99zM=",0)</f>
        <v>#REF!</v>
      </c>
      <c r="BA13" t="e">
        <f>AND(#REF!,"AAAAAD/99zQ=")</f>
        <v>#REF!</v>
      </c>
      <c r="BB13" t="e">
        <f>AND(#REF!,"AAAAAD/99zU=")</f>
        <v>#REF!</v>
      </c>
      <c r="BC13" t="e">
        <f>AND(#REF!,"AAAAAD/99zY=")</f>
        <v>#REF!</v>
      </c>
      <c r="BD13" t="e">
        <f>AND(#REF!,"AAAAAD/99zc=")</f>
        <v>#REF!</v>
      </c>
      <c r="BE13" t="e">
        <f>AND(#REF!,"AAAAAD/99zg=")</f>
        <v>#REF!</v>
      </c>
      <c r="BF13" t="e">
        <f>AND(#REF!,"AAAAAD/99zk=")</f>
        <v>#REF!</v>
      </c>
      <c r="BG13" t="e">
        <f>AND(#REF!,"AAAAAD/99zo=")</f>
        <v>#REF!</v>
      </c>
      <c r="BH13" t="e">
        <f>AND(#REF!,"AAAAAD/99zs=")</f>
        <v>#REF!</v>
      </c>
      <c r="BI13" t="e">
        <f>AND(#REF!,"AAAAAD/99zw=")</f>
        <v>#REF!</v>
      </c>
      <c r="BJ13" t="e">
        <f>AND(#REF!,"AAAAAD/99z0=")</f>
        <v>#REF!</v>
      </c>
      <c r="BK13" t="e">
        <f>AND(#REF!,"AAAAAD/99z4=")</f>
        <v>#REF!</v>
      </c>
      <c r="BL13" t="e">
        <f>AND(#REF!,"AAAAAD/99z8=")</f>
        <v>#REF!</v>
      </c>
      <c r="BM13" t="e">
        <f>IF(#REF!,"AAAAAD/990A=",0)</f>
        <v>#REF!</v>
      </c>
      <c r="BN13" t="e">
        <f>AND(#REF!,"AAAAAD/990E=")</f>
        <v>#REF!</v>
      </c>
      <c r="BO13" t="e">
        <f>AND(#REF!,"AAAAAD/990I=")</f>
        <v>#REF!</v>
      </c>
      <c r="BP13" t="e">
        <f>AND(#REF!,"AAAAAD/990M=")</f>
        <v>#REF!</v>
      </c>
      <c r="BQ13" t="e">
        <f>AND(#REF!,"AAAAAD/990Q=")</f>
        <v>#REF!</v>
      </c>
      <c r="BR13" t="e">
        <f>AND(#REF!,"AAAAAD/990U=")</f>
        <v>#REF!</v>
      </c>
      <c r="BS13" t="e">
        <f>AND(#REF!,"AAAAAD/990Y=")</f>
        <v>#REF!</v>
      </c>
      <c r="BT13" t="e">
        <f>AND(#REF!,"AAAAAD/990c=")</f>
        <v>#REF!</v>
      </c>
      <c r="BU13" t="e">
        <f>AND(#REF!,"AAAAAD/990g=")</f>
        <v>#REF!</v>
      </c>
      <c r="BV13" t="e">
        <f>AND(#REF!,"AAAAAD/990k=")</f>
        <v>#REF!</v>
      </c>
      <c r="BW13" t="e">
        <f>AND(#REF!,"AAAAAD/990o=")</f>
        <v>#REF!</v>
      </c>
      <c r="BX13" t="e">
        <f>AND(#REF!,"AAAAAD/990s=")</f>
        <v>#REF!</v>
      </c>
      <c r="BY13" t="e">
        <f>AND(#REF!,"AAAAAD/990w=")</f>
        <v>#REF!</v>
      </c>
      <c r="BZ13" t="e">
        <f>IF(#REF!,"AAAAAD/9900=",0)</f>
        <v>#REF!</v>
      </c>
      <c r="CA13" t="e">
        <f>AND(#REF!,"AAAAAD/9904=")</f>
        <v>#REF!</v>
      </c>
      <c r="CB13" t="e">
        <f>AND(#REF!,"AAAAAD/9908=")</f>
        <v>#REF!</v>
      </c>
      <c r="CC13" t="e">
        <f>AND(#REF!,"AAAAAD/991A=")</f>
        <v>#REF!</v>
      </c>
      <c r="CD13" t="e">
        <f>AND(#REF!,"AAAAAD/991E=")</f>
        <v>#REF!</v>
      </c>
      <c r="CE13" t="e">
        <f>AND(#REF!,"AAAAAD/991I=")</f>
        <v>#REF!</v>
      </c>
      <c r="CF13" t="e">
        <f>AND(#REF!,"AAAAAD/991M=")</f>
        <v>#REF!</v>
      </c>
      <c r="CG13" t="e">
        <f>AND(#REF!,"AAAAAD/991Q=")</f>
        <v>#REF!</v>
      </c>
      <c r="CH13" t="e">
        <f>AND(#REF!,"AAAAAD/991U=")</f>
        <v>#REF!</v>
      </c>
      <c r="CI13" t="e">
        <f>AND(#REF!,"AAAAAD/991Y=")</f>
        <v>#REF!</v>
      </c>
      <c r="CJ13" t="e">
        <f>AND(#REF!,"AAAAAD/991c=")</f>
        <v>#REF!</v>
      </c>
      <c r="CK13" t="e">
        <f>AND(#REF!,"AAAAAD/991g=")</f>
        <v>#REF!</v>
      </c>
      <c r="CL13" t="e">
        <f>AND(#REF!,"AAAAAD/991k=")</f>
        <v>#REF!</v>
      </c>
      <c r="CM13" t="e">
        <f>IF(#REF!,"AAAAAD/991o=",0)</f>
        <v>#REF!</v>
      </c>
      <c r="CN13" t="e">
        <f>AND(#REF!,"AAAAAD/991s=")</f>
        <v>#REF!</v>
      </c>
      <c r="CO13" t="e">
        <f>AND(#REF!,"AAAAAD/991w=")</f>
        <v>#REF!</v>
      </c>
      <c r="CP13" t="e">
        <f>AND(#REF!,"AAAAAD/9910=")</f>
        <v>#REF!</v>
      </c>
      <c r="CQ13" t="e">
        <f>AND(#REF!,"AAAAAD/9914=")</f>
        <v>#REF!</v>
      </c>
      <c r="CR13" t="e">
        <f>AND(#REF!,"AAAAAD/9918=")</f>
        <v>#REF!</v>
      </c>
      <c r="CS13" t="e">
        <f>AND(#REF!,"AAAAAD/992A=")</f>
        <v>#REF!</v>
      </c>
      <c r="CT13" t="e">
        <f>AND(#REF!,"AAAAAD/992E=")</f>
        <v>#REF!</v>
      </c>
      <c r="CU13" t="e">
        <f>AND(#REF!,"AAAAAD/992I=")</f>
        <v>#REF!</v>
      </c>
      <c r="CV13" t="e">
        <f>AND(#REF!,"AAAAAD/992M=")</f>
        <v>#REF!</v>
      </c>
      <c r="CW13" t="e">
        <f>AND(#REF!,"AAAAAD/992Q=")</f>
        <v>#REF!</v>
      </c>
      <c r="CX13" t="e">
        <f>AND(#REF!,"AAAAAD/992U=")</f>
        <v>#REF!</v>
      </c>
      <c r="CY13" t="e">
        <f>AND(#REF!,"AAAAAD/992Y=")</f>
        <v>#REF!</v>
      </c>
      <c r="CZ13" t="e">
        <f>IF(#REF!,"AAAAAD/992c=",0)</f>
        <v>#REF!</v>
      </c>
      <c r="DA13" t="e">
        <f>AND(#REF!,"AAAAAD/992g=")</f>
        <v>#REF!</v>
      </c>
      <c r="DB13" t="e">
        <f>AND(#REF!,"AAAAAD/992k=")</f>
        <v>#REF!</v>
      </c>
      <c r="DC13" t="e">
        <f>AND(#REF!,"AAAAAD/992o=")</f>
        <v>#REF!</v>
      </c>
      <c r="DD13" t="e">
        <f>AND(#REF!,"AAAAAD/992s=")</f>
        <v>#REF!</v>
      </c>
      <c r="DE13" t="e">
        <f>AND(#REF!,"AAAAAD/992w=")</f>
        <v>#REF!</v>
      </c>
      <c r="DF13" t="e">
        <f>AND(#REF!,"AAAAAD/9920=")</f>
        <v>#REF!</v>
      </c>
      <c r="DG13" t="e">
        <f>AND(#REF!,"AAAAAD/9924=")</f>
        <v>#REF!</v>
      </c>
      <c r="DH13" t="e">
        <f>AND(#REF!,"AAAAAD/9928=")</f>
        <v>#REF!</v>
      </c>
      <c r="DI13" t="e">
        <f>AND(#REF!,"AAAAAD/993A=")</f>
        <v>#REF!</v>
      </c>
      <c r="DJ13" t="e">
        <f>AND(#REF!,"AAAAAD/993E=")</f>
        <v>#REF!</v>
      </c>
      <c r="DK13" t="e">
        <f>AND(#REF!,"AAAAAD/993I=")</f>
        <v>#REF!</v>
      </c>
      <c r="DL13" t="e">
        <f>AND(#REF!,"AAAAAD/993M=")</f>
        <v>#REF!</v>
      </c>
      <c r="DM13" t="e">
        <f>IF(#REF!,"AAAAAD/993Q=",0)</f>
        <v>#REF!</v>
      </c>
      <c r="DN13" t="e">
        <f>AND(#REF!,"AAAAAD/993U=")</f>
        <v>#REF!</v>
      </c>
      <c r="DO13" t="e">
        <f>AND(#REF!,"AAAAAD/993Y=")</f>
        <v>#REF!</v>
      </c>
      <c r="DP13" t="e">
        <f>AND(#REF!,"AAAAAD/993c=")</f>
        <v>#REF!</v>
      </c>
      <c r="DQ13" t="e">
        <f>AND(#REF!,"AAAAAD/993g=")</f>
        <v>#REF!</v>
      </c>
      <c r="DR13" t="e">
        <f>AND(#REF!,"AAAAAD/993k=")</f>
        <v>#REF!</v>
      </c>
      <c r="DS13" t="e">
        <f>AND(#REF!,"AAAAAD/993o=")</f>
        <v>#REF!</v>
      </c>
      <c r="DT13" t="e">
        <f>AND(#REF!,"AAAAAD/993s=")</f>
        <v>#REF!</v>
      </c>
      <c r="DU13" t="e">
        <f>AND(#REF!,"AAAAAD/993w=")</f>
        <v>#REF!</v>
      </c>
      <c r="DV13" t="e">
        <f>AND(#REF!,"AAAAAD/9930=")</f>
        <v>#REF!</v>
      </c>
      <c r="DW13" t="e">
        <f>AND(#REF!,"AAAAAD/9934=")</f>
        <v>#REF!</v>
      </c>
      <c r="DX13" t="e">
        <f>AND(#REF!,"AAAAAD/9938=")</f>
        <v>#REF!</v>
      </c>
      <c r="DY13" t="e">
        <f>AND(#REF!,"AAAAAD/994A=")</f>
        <v>#REF!</v>
      </c>
      <c r="DZ13" t="e">
        <f>IF(#REF!,"AAAAAD/994E=",0)</f>
        <v>#REF!</v>
      </c>
      <c r="EA13" t="e">
        <f>AND(#REF!,"AAAAAD/994I=")</f>
        <v>#REF!</v>
      </c>
      <c r="EB13" t="e">
        <f>AND(#REF!,"AAAAAD/994M=")</f>
        <v>#REF!</v>
      </c>
      <c r="EC13" t="e">
        <f>AND(#REF!,"AAAAAD/994Q=")</f>
        <v>#REF!</v>
      </c>
      <c r="ED13" t="e">
        <f>AND(#REF!,"AAAAAD/994U=")</f>
        <v>#REF!</v>
      </c>
      <c r="EE13" t="e">
        <f>AND(#REF!,"AAAAAD/994Y=")</f>
        <v>#REF!</v>
      </c>
      <c r="EF13" t="e">
        <f>AND(#REF!,"AAAAAD/994c=")</f>
        <v>#REF!</v>
      </c>
      <c r="EG13" t="e">
        <f>AND(#REF!,"AAAAAD/994g=")</f>
        <v>#REF!</v>
      </c>
      <c r="EH13" t="e">
        <f>AND(#REF!,"AAAAAD/994k=")</f>
        <v>#REF!</v>
      </c>
      <c r="EI13" t="e">
        <f>AND(#REF!,"AAAAAD/994o=")</f>
        <v>#REF!</v>
      </c>
      <c r="EJ13" t="e">
        <f>AND(#REF!,"AAAAAD/994s=")</f>
        <v>#REF!</v>
      </c>
      <c r="EK13" t="e">
        <f>AND(#REF!,"AAAAAD/994w=")</f>
        <v>#REF!</v>
      </c>
      <c r="EL13" t="e">
        <f>AND(#REF!,"AAAAAD/9940=")</f>
        <v>#REF!</v>
      </c>
      <c r="EM13" t="e">
        <f>IF(#REF!,"AAAAAD/9944=",0)</f>
        <v>#REF!</v>
      </c>
      <c r="EN13" t="e">
        <f>AND(#REF!,"AAAAAD/9948=")</f>
        <v>#REF!</v>
      </c>
      <c r="EO13" t="e">
        <f>AND(#REF!,"AAAAAD/995A=")</f>
        <v>#REF!</v>
      </c>
      <c r="EP13" t="e">
        <f>AND(#REF!,"AAAAAD/995E=")</f>
        <v>#REF!</v>
      </c>
      <c r="EQ13" t="e">
        <f>AND(#REF!,"AAAAAD/995I=")</f>
        <v>#REF!</v>
      </c>
      <c r="ER13" t="e">
        <f>AND(#REF!,"AAAAAD/995M=")</f>
        <v>#REF!</v>
      </c>
      <c r="ES13" t="e">
        <f>AND(#REF!,"AAAAAD/995Q=")</f>
        <v>#REF!</v>
      </c>
      <c r="ET13" t="e">
        <f>AND(#REF!,"AAAAAD/995U=")</f>
        <v>#REF!</v>
      </c>
      <c r="EU13" t="e">
        <f>AND(#REF!,"AAAAAD/995Y=")</f>
        <v>#REF!</v>
      </c>
      <c r="EV13" t="e">
        <f>AND(#REF!,"AAAAAD/995c=")</f>
        <v>#REF!</v>
      </c>
      <c r="EW13" t="e">
        <f>AND(#REF!,"AAAAAD/995g=")</f>
        <v>#REF!</v>
      </c>
      <c r="EX13" t="e">
        <f>AND(#REF!,"AAAAAD/995k=")</f>
        <v>#REF!</v>
      </c>
      <c r="EY13" t="e">
        <f>AND(#REF!,"AAAAAD/995o=")</f>
        <v>#REF!</v>
      </c>
      <c r="EZ13" t="e">
        <f>IF(#REF!,"AAAAAD/995s=",0)</f>
        <v>#REF!</v>
      </c>
      <c r="FA13" t="e">
        <f>AND(#REF!,"AAAAAD/995w=")</f>
        <v>#REF!</v>
      </c>
      <c r="FB13" t="e">
        <f>AND(#REF!,"AAAAAD/9950=")</f>
        <v>#REF!</v>
      </c>
      <c r="FC13" t="e">
        <f>AND(#REF!,"AAAAAD/9954=")</f>
        <v>#REF!</v>
      </c>
      <c r="FD13" t="e">
        <f>AND(#REF!,"AAAAAD/9958=")</f>
        <v>#REF!</v>
      </c>
      <c r="FE13" t="e">
        <f>AND(#REF!,"AAAAAD/996A=")</f>
        <v>#REF!</v>
      </c>
      <c r="FF13" t="e">
        <f>AND(#REF!,"AAAAAD/996E=")</f>
        <v>#REF!</v>
      </c>
      <c r="FG13" t="e">
        <f>AND(#REF!,"AAAAAD/996I=")</f>
        <v>#REF!</v>
      </c>
      <c r="FH13" t="e">
        <f>AND(#REF!,"AAAAAD/996M=")</f>
        <v>#REF!</v>
      </c>
      <c r="FI13" t="e">
        <f>AND(#REF!,"AAAAAD/996Q=")</f>
        <v>#REF!</v>
      </c>
      <c r="FJ13" t="e">
        <f>AND(#REF!,"AAAAAD/996U=")</f>
        <v>#REF!</v>
      </c>
      <c r="FK13" t="e">
        <f>AND(#REF!,"AAAAAD/996Y=")</f>
        <v>#REF!</v>
      </c>
      <c r="FL13" t="e">
        <f>AND(#REF!,"AAAAAD/996c=")</f>
        <v>#REF!</v>
      </c>
      <c r="FM13" t="e">
        <f>IF(#REF!,"AAAAAD/996g=",0)</f>
        <v>#REF!</v>
      </c>
      <c r="FN13" t="e">
        <f>AND(#REF!,"AAAAAD/996k=")</f>
        <v>#REF!</v>
      </c>
      <c r="FO13" t="e">
        <f>AND(#REF!,"AAAAAD/996o=")</f>
        <v>#REF!</v>
      </c>
      <c r="FP13" t="e">
        <f>AND(#REF!,"AAAAAD/996s=")</f>
        <v>#REF!</v>
      </c>
      <c r="FQ13" t="e">
        <f>AND(#REF!,"AAAAAD/996w=")</f>
        <v>#REF!</v>
      </c>
      <c r="FR13" t="e">
        <f>AND(#REF!,"AAAAAD/9960=")</f>
        <v>#REF!</v>
      </c>
      <c r="FS13" t="e">
        <f>AND(#REF!,"AAAAAD/9964=")</f>
        <v>#REF!</v>
      </c>
      <c r="FT13" t="e">
        <f>AND(#REF!,"AAAAAD/9968=")</f>
        <v>#REF!</v>
      </c>
      <c r="FU13" t="e">
        <f>AND(#REF!,"AAAAAD/997A=")</f>
        <v>#REF!</v>
      </c>
      <c r="FV13" t="e">
        <f>AND(#REF!,"AAAAAD/997E=")</f>
        <v>#REF!</v>
      </c>
      <c r="FW13" t="e">
        <f>AND(#REF!,"AAAAAD/997I=")</f>
        <v>#REF!</v>
      </c>
      <c r="FX13" t="e">
        <f>AND(#REF!,"AAAAAD/997M=")</f>
        <v>#REF!</v>
      </c>
      <c r="FY13" t="e">
        <f>AND(#REF!,"AAAAAD/997Q=")</f>
        <v>#REF!</v>
      </c>
      <c r="FZ13" t="e">
        <f>IF(#REF!,"AAAAAD/997U=",0)</f>
        <v>#REF!</v>
      </c>
      <c r="GA13" t="e">
        <f>AND(#REF!,"AAAAAD/997Y=")</f>
        <v>#REF!</v>
      </c>
      <c r="GB13" t="e">
        <f>AND(#REF!,"AAAAAD/997c=")</f>
        <v>#REF!</v>
      </c>
      <c r="GC13" t="e">
        <f>AND(#REF!,"AAAAAD/997g=")</f>
        <v>#REF!</v>
      </c>
      <c r="GD13" t="e">
        <f>AND(#REF!,"AAAAAD/997k=")</f>
        <v>#REF!</v>
      </c>
      <c r="GE13" t="e">
        <f>AND(#REF!,"AAAAAD/997o=")</f>
        <v>#REF!</v>
      </c>
      <c r="GF13" t="e">
        <f>AND(#REF!,"AAAAAD/997s=")</f>
        <v>#REF!</v>
      </c>
      <c r="GG13" t="e">
        <f>AND(#REF!,"AAAAAD/997w=")</f>
        <v>#REF!</v>
      </c>
      <c r="GH13" t="e">
        <f>AND(#REF!,"AAAAAD/9970=")</f>
        <v>#REF!</v>
      </c>
      <c r="GI13" t="e">
        <f>AND(#REF!,"AAAAAD/9974=")</f>
        <v>#REF!</v>
      </c>
      <c r="GJ13" t="e">
        <f>AND(#REF!,"AAAAAD/9978=")</f>
        <v>#REF!</v>
      </c>
      <c r="GK13" t="e">
        <f>AND(#REF!,"AAAAAD/998A=")</f>
        <v>#REF!</v>
      </c>
      <c r="GL13" t="e">
        <f>AND(#REF!,"AAAAAD/998E=")</f>
        <v>#REF!</v>
      </c>
      <c r="GM13" t="e">
        <f>IF(#REF!,"AAAAAD/998I=",0)</f>
        <v>#REF!</v>
      </c>
      <c r="GN13" t="e">
        <f>AND(#REF!,"AAAAAD/998M=")</f>
        <v>#REF!</v>
      </c>
      <c r="GO13" t="e">
        <f>AND(#REF!,"AAAAAD/998Q=")</f>
        <v>#REF!</v>
      </c>
      <c r="GP13" t="e">
        <f>AND(#REF!,"AAAAAD/998U=")</f>
        <v>#REF!</v>
      </c>
      <c r="GQ13" t="e">
        <f>AND(#REF!,"AAAAAD/998Y=")</f>
        <v>#REF!</v>
      </c>
      <c r="GR13" t="e">
        <f>AND(#REF!,"AAAAAD/998c=")</f>
        <v>#REF!</v>
      </c>
      <c r="GS13" t="e">
        <f>AND(#REF!,"AAAAAD/998g=")</f>
        <v>#REF!</v>
      </c>
      <c r="GT13" t="e">
        <f>AND(#REF!,"AAAAAD/998k=")</f>
        <v>#REF!</v>
      </c>
      <c r="GU13" t="e">
        <f>AND(#REF!,"AAAAAD/998o=")</f>
        <v>#REF!</v>
      </c>
      <c r="GV13" t="e">
        <f>AND(#REF!,"AAAAAD/998s=")</f>
        <v>#REF!</v>
      </c>
      <c r="GW13" t="e">
        <f>AND(#REF!,"AAAAAD/998w=")</f>
        <v>#REF!</v>
      </c>
      <c r="GX13" t="e">
        <f>AND(#REF!,"AAAAAD/9980=")</f>
        <v>#REF!</v>
      </c>
      <c r="GY13" t="e">
        <f>AND(#REF!,"AAAAAD/9984=")</f>
        <v>#REF!</v>
      </c>
      <c r="GZ13" t="e">
        <f>IF(#REF!,"AAAAAD/9988=",0)</f>
        <v>#REF!</v>
      </c>
      <c r="HA13" t="e">
        <f>AND(#REF!,"AAAAAD/999A=")</f>
        <v>#REF!</v>
      </c>
      <c r="HB13" t="e">
        <f>AND(#REF!,"AAAAAD/999E=")</f>
        <v>#REF!</v>
      </c>
      <c r="HC13" t="e">
        <f>AND(#REF!,"AAAAAD/999I=")</f>
        <v>#REF!</v>
      </c>
      <c r="HD13" t="e">
        <f>AND(#REF!,"AAAAAD/999M=")</f>
        <v>#REF!</v>
      </c>
      <c r="HE13" t="e">
        <f>AND(#REF!,"AAAAAD/999Q=")</f>
        <v>#REF!</v>
      </c>
      <c r="HF13" t="e">
        <f>AND(#REF!,"AAAAAD/999U=")</f>
        <v>#REF!</v>
      </c>
      <c r="HG13" t="e">
        <f>AND(#REF!,"AAAAAD/999Y=")</f>
        <v>#REF!</v>
      </c>
      <c r="HH13" t="e">
        <f>AND(#REF!,"AAAAAD/999c=")</f>
        <v>#REF!</v>
      </c>
      <c r="HI13" t="e">
        <f>AND(#REF!,"AAAAAD/999g=")</f>
        <v>#REF!</v>
      </c>
      <c r="HJ13" t="e">
        <f>AND(#REF!,"AAAAAD/999k=")</f>
        <v>#REF!</v>
      </c>
      <c r="HK13" t="e">
        <f>AND(#REF!,"AAAAAD/999o=")</f>
        <v>#REF!</v>
      </c>
      <c r="HL13" t="e">
        <f>AND(#REF!,"AAAAAD/999s=")</f>
        <v>#REF!</v>
      </c>
      <c r="HM13" t="e">
        <f>IF(#REF!,"AAAAAD/999w=",0)</f>
        <v>#REF!</v>
      </c>
      <c r="HN13" t="e">
        <f>AND(#REF!,"AAAAAD/9990=")</f>
        <v>#REF!</v>
      </c>
      <c r="HO13" t="e">
        <f>AND(#REF!,"AAAAAD/9994=")</f>
        <v>#REF!</v>
      </c>
      <c r="HP13" t="e">
        <f>AND(#REF!,"AAAAAD/9998=")</f>
        <v>#REF!</v>
      </c>
      <c r="HQ13" t="e">
        <f>AND(#REF!,"AAAAAD/99+A=")</f>
        <v>#REF!</v>
      </c>
      <c r="HR13" t="e">
        <f>AND(#REF!,"AAAAAD/99+E=")</f>
        <v>#REF!</v>
      </c>
      <c r="HS13" t="e">
        <f>AND(#REF!,"AAAAAD/99+I=")</f>
        <v>#REF!</v>
      </c>
      <c r="HT13" t="e">
        <f>AND(#REF!,"AAAAAD/99+M=")</f>
        <v>#REF!</v>
      </c>
      <c r="HU13" t="e">
        <f>AND(#REF!,"AAAAAD/99+Q=")</f>
        <v>#REF!</v>
      </c>
      <c r="HV13" t="e">
        <f>AND(#REF!,"AAAAAD/99+U=")</f>
        <v>#REF!</v>
      </c>
      <c r="HW13" t="e">
        <f>AND(#REF!,"AAAAAD/99+Y=")</f>
        <v>#REF!</v>
      </c>
      <c r="HX13" t="e">
        <f>AND(#REF!,"AAAAAD/99+c=")</f>
        <v>#REF!</v>
      </c>
      <c r="HY13" t="e">
        <f>AND(#REF!,"AAAAAD/99+g=")</f>
        <v>#REF!</v>
      </c>
      <c r="HZ13" t="e">
        <f>IF(#REF!,"AAAAAD/99+k=",0)</f>
        <v>#REF!</v>
      </c>
      <c r="IA13" t="e">
        <f>AND(#REF!,"AAAAAD/99+o=")</f>
        <v>#REF!</v>
      </c>
      <c r="IB13" t="e">
        <f>AND(#REF!,"AAAAAD/99+s=")</f>
        <v>#REF!</v>
      </c>
      <c r="IC13" t="e">
        <f>AND(#REF!,"AAAAAD/99+w=")</f>
        <v>#REF!</v>
      </c>
      <c r="ID13" t="e">
        <f>AND(#REF!,"AAAAAD/99+0=")</f>
        <v>#REF!</v>
      </c>
      <c r="IE13" t="e">
        <f>AND(#REF!,"AAAAAD/99+4=")</f>
        <v>#REF!</v>
      </c>
      <c r="IF13" t="e">
        <f>AND(#REF!,"AAAAAD/99+8=")</f>
        <v>#REF!</v>
      </c>
      <c r="IG13" t="e">
        <f>AND(#REF!,"AAAAAD/99/A=")</f>
        <v>#REF!</v>
      </c>
      <c r="IH13" t="e">
        <f>AND(#REF!,"AAAAAD/99/E=")</f>
        <v>#REF!</v>
      </c>
      <c r="II13" t="e">
        <f>AND(#REF!,"AAAAAD/99/I=")</f>
        <v>#REF!</v>
      </c>
      <c r="IJ13" t="e">
        <f>AND(#REF!,"AAAAAD/99/M=")</f>
        <v>#REF!</v>
      </c>
      <c r="IK13" t="e">
        <f>AND(#REF!,"AAAAAD/99/Q=")</f>
        <v>#REF!</v>
      </c>
      <c r="IL13" t="e">
        <f>AND(#REF!,"AAAAAD/99/U=")</f>
        <v>#REF!</v>
      </c>
      <c r="IM13" t="e">
        <f>IF(#REF!,"AAAAAD/99/Y=",0)</f>
        <v>#REF!</v>
      </c>
      <c r="IN13" t="e">
        <f>AND(#REF!,"AAAAAD/99/c=")</f>
        <v>#REF!</v>
      </c>
      <c r="IO13" t="e">
        <f>AND(#REF!,"AAAAAD/99/g=")</f>
        <v>#REF!</v>
      </c>
      <c r="IP13" t="e">
        <f>AND(#REF!,"AAAAAD/99/k=")</f>
        <v>#REF!</v>
      </c>
      <c r="IQ13" t="e">
        <f>AND(#REF!,"AAAAAD/99/o=")</f>
        <v>#REF!</v>
      </c>
      <c r="IR13" t="e">
        <f>AND(#REF!,"AAAAAD/99/s=")</f>
        <v>#REF!</v>
      </c>
      <c r="IS13" t="e">
        <f>AND(#REF!,"AAAAAD/99/w=")</f>
        <v>#REF!</v>
      </c>
      <c r="IT13" t="e">
        <f>AND(#REF!,"AAAAAD/99/0=")</f>
        <v>#REF!</v>
      </c>
      <c r="IU13" t="e">
        <f>AND(#REF!,"AAAAAD/99/4=")</f>
        <v>#REF!</v>
      </c>
      <c r="IV13" t="e">
        <f>AND(#REF!,"AAAAAD/99/8=")</f>
        <v>#REF!</v>
      </c>
    </row>
    <row r="14" spans="1:256">
      <c r="A14" t="e">
        <f>AND(#REF!,"AAAAAH72nQA=")</f>
        <v>#REF!</v>
      </c>
      <c r="B14" t="e">
        <f>AND(#REF!,"AAAAAH72nQE=")</f>
        <v>#REF!</v>
      </c>
      <c r="C14" t="e">
        <f>AND(#REF!,"AAAAAH72nQI=")</f>
        <v>#REF!</v>
      </c>
      <c r="D14" t="e">
        <f>IF(#REF!,"AAAAAH72nQM=",0)</f>
        <v>#REF!</v>
      </c>
      <c r="E14" t="e">
        <f>IF(#REF!,"AAAAAH72nQQ=",0)</f>
        <v>#REF!</v>
      </c>
      <c r="F14" t="e">
        <f>IF(#REF!,"AAAAAH72nQU=",0)</f>
        <v>#REF!</v>
      </c>
      <c r="G14" t="e">
        <f>IF(#REF!,"AAAAAH72nQY=",0)</f>
        <v>#REF!</v>
      </c>
      <c r="H14" t="e">
        <f>IF(#REF!,"AAAAAH72nQc=",0)</f>
        <v>#REF!</v>
      </c>
      <c r="I14" t="e">
        <f>IF(#REF!,"AAAAAH72nQg=",0)</f>
        <v>#REF!</v>
      </c>
      <c r="J14" t="e">
        <f>IF(#REF!,"AAAAAH72nQk=",0)</f>
        <v>#REF!</v>
      </c>
      <c r="K14" t="e">
        <f>IF(#REF!,"AAAAAH72nQo=",0)</f>
        <v>#REF!</v>
      </c>
      <c r="L14" t="e">
        <f>IF(#REF!,"AAAAAH72nQs=",0)</f>
        <v>#REF!</v>
      </c>
      <c r="M14" t="e">
        <f>IF(#REF!,"AAAAAH72nQw=",0)</f>
        <v>#REF!</v>
      </c>
      <c r="N14" t="e">
        <f>IF(#REF!,"AAAAAH72nQ0=",0)</f>
        <v>#REF!</v>
      </c>
      <c r="O14" t="e">
        <f>IF(#REF!,"AAAAAH72nQ4=",0)</f>
        <v>#REF!</v>
      </c>
      <c r="P14" t="e">
        <f>IF(#REF!,"AAAAAH72nQ8=",0)</f>
        <v>#REF!</v>
      </c>
      <c r="Q14" t="e">
        <f>IF(#REF!,"AAAAAH72nRA=",0)</f>
        <v>#REF!</v>
      </c>
      <c r="R14" t="e">
        <f>AND(#REF!,"AAAAAH72nRE=")</f>
        <v>#REF!</v>
      </c>
      <c r="S14" t="e">
        <f>AND(#REF!,"AAAAAH72nRI=")</f>
        <v>#REF!</v>
      </c>
      <c r="T14" t="e">
        <f>AND(#REF!,"AAAAAH72nRM=")</f>
        <v>#REF!</v>
      </c>
      <c r="U14" t="e">
        <f>AND(#REF!,"AAAAAH72nRQ=")</f>
        <v>#REF!</v>
      </c>
      <c r="V14" t="e">
        <f>AND(#REF!,"AAAAAH72nRU=")</f>
        <v>#REF!</v>
      </c>
      <c r="W14" t="e">
        <f>AND(#REF!,"AAAAAH72nRY=")</f>
        <v>#REF!</v>
      </c>
      <c r="X14" t="e">
        <f>AND(#REF!,"AAAAAH72nRc=")</f>
        <v>#REF!</v>
      </c>
      <c r="Y14" t="e">
        <f>AND(#REF!,"AAAAAH72nRg=")</f>
        <v>#REF!</v>
      </c>
      <c r="Z14" t="e">
        <f>AND(#REF!,"AAAAAH72nRk=")</f>
        <v>#REF!</v>
      </c>
      <c r="AA14" t="e">
        <f>AND(#REF!,"AAAAAH72nRo=")</f>
        <v>#REF!</v>
      </c>
      <c r="AB14" t="e">
        <f>AND(#REF!,"AAAAAH72nRs=")</f>
        <v>#REF!</v>
      </c>
      <c r="AC14" t="e">
        <f>AND(#REF!,"AAAAAH72nRw=")</f>
        <v>#REF!</v>
      </c>
      <c r="AD14" t="e">
        <f>IF(#REF!,"AAAAAH72nR0=",0)</f>
        <v>#REF!</v>
      </c>
      <c r="AE14" t="e">
        <f>AND(#REF!,"AAAAAH72nR4=")</f>
        <v>#REF!</v>
      </c>
      <c r="AF14" t="e">
        <f>AND(#REF!,"AAAAAH72nR8=")</f>
        <v>#REF!</v>
      </c>
      <c r="AG14" t="e">
        <f>AND(#REF!,"AAAAAH72nSA=")</f>
        <v>#REF!</v>
      </c>
      <c r="AH14" t="e">
        <f>AND(#REF!,"AAAAAH72nSE=")</f>
        <v>#REF!</v>
      </c>
      <c r="AI14" t="e">
        <f>AND(#REF!,"AAAAAH72nSI=")</f>
        <v>#REF!</v>
      </c>
      <c r="AJ14" t="e">
        <f>AND(#REF!,"AAAAAH72nSM=")</f>
        <v>#REF!</v>
      </c>
      <c r="AK14" t="e">
        <f>AND(#REF!,"AAAAAH72nSQ=")</f>
        <v>#REF!</v>
      </c>
      <c r="AL14" t="e">
        <f>AND(#REF!,"AAAAAH72nSU=")</f>
        <v>#REF!</v>
      </c>
      <c r="AM14" t="e">
        <f>AND(#REF!,"AAAAAH72nSY=")</f>
        <v>#REF!</v>
      </c>
      <c r="AN14" t="e">
        <f>AND(#REF!,"AAAAAH72nSc=")</f>
        <v>#REF!</v>
      </c>
      <c r="AO14" t="e">
        <f>AND(#REF!,"AAAAAH72nSg=")</f>
        <v>#REF!</v>
      </c>
      <c r="AP14" t="e">
        <f>AND(#REF!,"AAAAAH72nSk=")</f>
        <v>#REF!</v>
      </c>
      <c r="AQ14" t="e">
        <f>IF(#REF!,"AAAAAH72nSo=",0)</f>
        <v>#REF!</v>
      </c>
      <c r="AR14" t="e">
        <f>AND(#REF!,"AAAAAH72nSs=")</f>
        <v>#REF!</v>
      </c>
      <c r="AS14" t="e">
        <f>AND(#REF!,"AAAAAH72nSw=")</f>
        <v>#REF!</v>
      </c>
      <c r="AT14" t="e">
        <f>AND(#REF!,"AAAAAH72nS0=")</f>
        <v>#REF!</v>
      </c>
      <c r="AU14" t="e">
        <f>AND(#REF!,"AAAAAH72nS4=")</f>
        <v>#REF!</v>
      </c>
      <c r="AV14" t="e">
        <f>AND(#REF!,"AAAAAH72nS8=")</f>
        <v>#REF!</v>
      </c>
      <c r="AW14" t="e">
        <f>AND(#REF!,"AAAAAH72nTA=")</f>
        <v>#REF!</v>
      </c>
      <c r="AX14" t="e">
        <f>AND(#REF!,"AAAAAH72nTE=")</f>
        <v>#REF!</v>
      </c>
      <c r="AY14" t="e">
        <f>AND(#REF!,"AAAAAH72nTI=")</f>
        <v>#REF!</v>
      </c>
      <c r="AZ14" t="e">
        <f>AND(#REF!,"AAAAAH72nTM=")</f>
        <v>#REF!</v>
      </c>
      <c r="BA14" t="e">
        <f>AND(#REF!,"AAAAAH72nTQ=")</f>
        <v>#REF!</v>
      </c>
      <c r="BB14" t="e">
        <f>AND(#REF!,"AAAAAH72nTU=")</f>
        <v>#REF!</v>
      </c>
      <c r="BC14" t="e">
        <f>AND(#REF!,"AAAAAH72nTY=")</f>
        <v>#REF!</v>
      </c>
      <c r="BD14" t="e">
        <f>IF(#REF!,"AAAAAH72nTc=",0)</f>
        <v>#REF!</v>
      </c>
      <c r="BE14" t="e">
        <f>AND(#REF!,"AAAAAH72nTg=")</f>
        <v>#REF!</v>
      </c>
      <c r="BF14" t="e">
        <f>AND(#REF!,"AAAAAH72nTk=")</f>
        <v>#REF!</v>
      </c>
      <c r="BG14" t="e">
        <f>AND(#REF!,"AAAAAH72nTo=")</f>
        <v>#REF!</v>
      </c>
      <c r="BH14" t="e">
        <f>AND(#REF!,"AAAAAH72nTs=")</f>
        <v>#REF!</v>
      </c>
      <c r="BI14" t="e">
        <f>AND(#REF!,"AAAAAH72nTw=")</f>
        <v>#REF!</v>
      </c>
      <c r="BJ14" t="e">
        <f>AND(#REF!,"AAAAAH72nT0=")</f>
        <v>#REF!</v>
      </c>
      <c r="BK14" t="e">
        <f>AND(#REF!,"AAAAAH72nT4=")</f>
        <v>#REF!</v>
      </c>
      <c r="BL14" t="e">
        <f>AND(#REF!,"AAAAAH72nT8=")</f>
        <v>#REF!</v>
      </c>
      <c r="BM14" t="e">
        <f>AND(#REF!,"AAAAAH72nUA=")</f>
        <v>#REF!</v>
      </c>
      <c r="BN14" t="e">
        <f>AND(#REF!,"AAAAAH72nUE=")</f>
        <v>#REF!</v>
      </c>
      <c r="BO14" t="e">
        <f>AND(#REF!,"AAAAAH72nUI=")</f>
        <v>#REF!</v>
      </c>
      <c r="BP14" t="e">
        <f>AND(#REF!,"AAAAAH72nUM=")</f>
        <v>#REF!</v>
      </c>
      <c r="BQ14" t="e">
        <f>IF(#REF!,"AAAAAH72nUQ=",0)</f>
        <v>#REF!</v>
      </c>
      <c r="BR14" t="e">
        <f>AND(#REF!,"AAAAAH72nUU=")</f>
        <v>#REF!</v>
      </c>
      <c r="BS14" t="e">
        <f>AND(#REF!,"AAAAAH72nUY=")</f>
        <v>#REF!</v>
      </c>
      <c r="BT14" t="e">
        <f>AND(#REF!,"AAAAAH72nUc=")</f>
        <v>#REF!</v>
      </c>
      <c r="BU14" t="e">
        <f>AND(#REF!,"AAAAAH72nUg=")</f>
        <v>#REF!</v>
      </c>
      <c r="BV14" t="e">
        <f>AND(#REF!,"AAAAAH72nUk=")</f>
        <v>#REF!</v>
      </c>
      <c r="BW14" t="e">
        <f>AND(#REF!,"AAAAAH72nUo=")</f>
        <v>#REF!</v>
      </c>
      <c r="BX14" t="e">
        <f>AND(#REF!,"AAAAAH72nUs=")</f>
        <v>#REF!</v>
      </c>
      <c r="BY14" t="e">
        <f>AND(#REF!,"AAAAAH72nUw=")</f>
        <v>#REF!</v>
      </c>
      <c r="BZ14" t="e">
        <f>AND(#REF!,"AAAAAH72nU0=")</f>
        <v>#REF!</v>
      </c>
      <c r="CA14" t="e">
        <f>AND(#REF!,"AAAAAH72nU4=")</f>
        <v>#REF!</v>
      </c>
      <c r="CB14" t="e">
        <f>AND(#REF!,"AAAAAH72nU8=")</f>
        <v>#REF!</v>
      </c>
      <c r="CC14" t="e">
        <f>AND(#REF!,"AAAAAH72nVA=")</f>
        <v>#REF!</v>
      </c>
      <c r="CD14" t="e">
        <f>IF(#REF!,"AAAAAH72nVE=",0)</f>
        <v>#REF!</v>
      </c>
      <c r="CE14" t="e">
        <f>AND(#REF!,"AAAAAH72nVI=")</f>
        <v>#REF!</v>
      </c>
      <c r="CF14" t="e">
        <f>AND(#REF!,"AAAAAH72nVM=")</f>
        <v>#REF!</v>
      </c>
      <c r="CG14" t="e">
        <f>AND(#REF!,"AAAAAH72nVQ=")</f>
        <v>#REF!</v>
      </c>
      <c r="CH14" t="e">
        <f>AND(#REF!,"AAAAAH72nVU=")</f>
        <v>#REF!</v>
      </c>
      <c r="CI14" t="e">
        <f>AND(#REF!,"AAAAAH72nVY=")</f>
        <v>#REF!</v>
      </c>
      <c r="CJ14" t="e">
        <f>AND(#REF!,"AAAAAH72nVc=")</f>
        <v>#REF!</v>
      </c>
      <c r="CK14" t="e">
        <f>AND(#REF!,"AAAAAH72nVg=")</f>
        <v>#REF!</v>
      </c>
      <c r="CL14" t="e">
        <f>AND(#REF!,"AAAAAH72nVk=")</f>
        <v>#REF!</v>
      </c>
      <c r="CM14" t="e">
        <f>AND(#REF!,"AAAAAH72nVo=")</f>
        <v>#REF!</v>
      </c>
      <c r="CN14" t="e">
        <f>AND(#REF!,"AAAAAH72nVs=")</f>
        <v>#REF!</v>
      </c>
      <c r="CO14" t="e">
        <f>AND(#REF!,"AAAAAH72nVw=")</f>
        <v>#REF!</v>
      </c>
      <c r="CP14" t="e">
        <f>AND(#REF!,"AAAAAH72nV0=")</f>
        <v>#REF!</v>
      </c>
      <c r="CQ14" t="e">
        <f>IF(#REF!,"AAAAAH72nV4=",0)</f>
        <v>#REF!</v>
      </c>
      <c r="CR14" t="e">
        <f>AND(#REF!,"AAAAAH72nV8=")</f>
        <v>#REF!</v>
      </c>
      <c r="CS14" t="e">
        <f>AND(#REF!,"AAAAAH72nWA=")</f>
        <v>#REF!</v>
      </c>
      <c r="CT14" t="e">
        <f>AND(#REF!,"AAAAAH72nWE=")</f>
        <v>#REF!</v>
      </c>
      <c r="CU14" t="e">
        <f>AND(#REF!,"AAAAAH72nWI=")</f>
        <v>#REF!</v>
      </c>
      <c r="CV14" t="e">
        <f>AND(#REF!,"AAAAAH72nWM=")</f>
        <v>#REF!</v>
      </c>
      <c r="CW14" t="e">
        <f>AND(#REF!,"AAAAAH72nWQ=")</f>
        <v>#REF!</v>
      </c>
      <c r="CX14" t="e">
        <f>AND(#REF!,"AAAAAH72nWU=")</f>
        <v>#REF!</v>
      </c>
      <c r="CY14" t="e">
        <f>AND(#REF!,"AAAAAH72nWY=")</f>
        <v>#REF!</v>
      </c>
      <c r="CZ14" t="e">
        <f>AND(#REF!,"AAAAAH72nWc=")</f>
        <v>#REF!</v>
      </c>
      <c r="DA14" t="e">
        <f>AND(#REF!,"AAAAAH72nWg=")</f>
        <v>#REF!</v>
      </c>
      <c r="DB14" t="e">
        <f>AND(#REF!,"AAAAAH72nWk=")</f>
        <v>#REF!</v>
      </c>
      <c r="DC14" t="e">
        <f>AND(#REF!,"AAAAAH72nWo=")</f>
        <v>#REF!</v>
      </c>
      <c r="DD14" t="e">
        <f>IF(#REF!,"AAAAAH72nWs=",0)</f>
        <v>#REF!</v>
      </c>
      <c r="DE14" t="e">
        <f>AND(#REF!,"AAAAAH72nWw=")</f>
        <v>#REF!</v>
      </c>
      <c r="DF14" t="e">
        <f>AND(#REF!,"AAAAAH72nW0=")</f>
        <v>#REF!</v>
      </c>
      <c r="DG14" t="e">
        <f>AND(#REF!,"AAAAAH72nW4=")</f>
        <v>#REF!</v>
      </c>
      <c r="DH14" t="e">
        <f>AND(#REF!,"AAAAAH72nW8=")</f>
        <v>#REF!</v>
      </c>
      <c r="DI14" t="e">
        <f>AND(#REF!,"AAAAAH72nXA=")</f>
        <v>#REF!</v>
      </c>
      <c r="DJ14" t="e">
        <f>AND(#REF!,"AAAAAH72nXE=")</f>
        <v>#REF!</v>
      </c>
      <c r="DK14" t="e">
        <f>AND(#REF!,"AAAAAH72nXI=")</f>
        <v>#REF!</v>
      </c>
      <c r="DL14" t="e">
        <f>AND(#REF!,"AAAAAH72nXM=")</f>
        <v>#REF!</v>
      </c>
      <c r="DM14" t="e">
        <f>AND(#REF!,"AAAAAH72nXQ=")</f>
        <v>#REF!</v>
      </c>
      <c r="DN14" t="e">
        <f>AND(#REF!,"AAAAAH72nXU=")</f>
        <v>#REF!</v>
      </c>
      <c r="DO14" t="e">
        <f>AND(#REF!,"AAAAAH72nXY=")</f>
        <v>#REF!</v>
      </c>
      <c r="DP14" t="e">
        <f>AND(#REF!,"AAAAAH72nXc=")</f>
        <v>#REF!</v>
      </c>
      <c r="DQ14" t="e">
        <f>IF(#REF!,"AAAAAH72nXg=",0)</f>
        <v>#REF!</v>
      </c>
      <c r="DR14" t="e">
        <f>AND(#REF!,"AAAAAH72nXk=")</f>
        <v>#REF!</v>
      </c>
      <c r="DS14" t="e">
        <f>AND(#REF!,"AAAAAH72nXo=")</f>
        <v>#REF!</v>
      </c>
      <c r="DT14" t="e">
        <f>AND(#REF!,"AAAAAH72nXs=")</f>
        <v>#REF!</v>
      </c>
      <c r="DU14" t="e">
        <f>AND(#REF!,"AAAAAH72nXw=")</f>
        <v>#REF!</v>
      </c>
      <c r="DV14" t="e">
        <f>AND(#REF!,"AAAAAH72nX0=")</f>
        <v>#REF!</v>
      </c>
      <c r="DW14" t="e">
        <f>AND(#REF!,"AAAAAH72nX4=")</f>
        <v>#REF!</v>
      </c>
      <c r="DX14" t="e">
        <f>AND(#REF!,"AAAAAH72nX8=")</f>
        <v>#REF!</v>
      </c>
      <c r="DY14" t="e">
        <f>AND(#REF!,"AAAAAH72nYA=")</f>
        <v>#REF!</v>
      </c>
      <c r="DZ14" t="e">
        <f>AND(#REF!,"AAAAAH72nYE=")</f>
        <v>#REF!</v>
      </c>
      <c r="EA14" t="e">
        <f>AND(#REF!,"AAAAAH72nYI=")</f>
        <v>#REF!</v>
      </c>
      <c r="EB14" t="e">
        <f>AND(#REF!,"AAAAAH72nYM=")</f>
        <v>#REF!</v>
      </c>
      <c r="EC14" t="e">
        <f>AND(#REF!,"AAAAAH72nYQ=")</f>
        <v>#REF!</v>
      </c>
      <c r="ED14" t="e">
        <f>IF(#REF!,"AAAAAH72nYU=",0)</f>
        <v>#REF!</v>
      </c>
      <c r="EE14" t="e">
        <f>AND(#REF!,"AAAAAH72nYY=")</f>
        <v>#REF!</v>
      </c>
      <c r="EF14" t="e">
        <f>AND(#REF!,"AAAAAH72nYc=")</f>
        <v>#REF!</v>
      </c>
      <c r="EG14" t="e">
        <f>AND(#REF!,"AAAAAH72nYg=")</f>
        <v>#REF!</v>
      </c>
      <c r="EH14" t="e">
        <f>AND(#REF!,"AAAAAH72nYk=")</f>
        <v>#REF!</v>
      </c>
      <c r="EI14" t="e">
        <f>AND(#REF!,"AAAAAH72nYo=")</f>
        <v>#REF!</v>
      </c>
      <c r="EJ14" t="e">
        <f>AND(#REF!,"AAAAAH72nYs=")</f>
        <v>#REF!</v>
      </c>
      <c r="EK14" t="e">
        <f>AND(#REF!,"AAAAAH72nYw=")</f>
        <v>#REF!</v>
      </c>
      <c r="EL14" t="e">
        <f>AND(#REF!,"AAAAAH72nY0=")</f>
        <v>#REF!</v>
      </c>
      <c r="EM14" t="e">
        <f>AND(#REF!,"AAAAAH72nY4=")</f>
        <v>#REF!</v>
      </c>
      <c r="EN14" t="e">
        <f>AND(#REF!,"AAAAAH72nY8=")</f>
        <v>#REF!</v>
      </c>
      <c r="EO14" t="e">
        <f>AND(#REF!,"AAAAAH72nZA=")</f>
        <v>#REF!</v>
      </c>
      <c r="EP14" t="e">
        <f>AND(#REF!,"AAAAAH72nZE=")</f>
        <v>#REF!</v>
      </c>
      <c r="EQ14" t="e">
        <f>IF(#REF!,"AAAAAH72nZI=",0)</f>
        <v>#REF!</v>
      </c>
      <c r="ER14" t="e">
        <f>AND(#REF!,"AAAAAH72nZM=")</f>
        <v>#REF!</v>
      </c>
      <c r="ES14" t="e">
        <f>AND(#REF!,"AAAAAH72nZQ=")</f>
        <v>#REF!</v>
      </c>
      <c r="ET14" t="e">
        <f>AND(#REF!,"AAAAAH72nZU=")</f>
        <v>#REF!</v>
      </c>
      <c r="EU14" t="e">
        <f>AND(#REF!,"AAAAAH72nZY=")</f>
        <v>#REF!</v>
      </c>
      <c r="EV14" t="e">
        <f>AND(#REF!,"AAAAAH72nZc=")</f>
        <v>#REF!</v>
      </c>
      <c r="EW14" t="e">
        <f>AND(#REF!,"AAAAAH72nZg=")</f>
        <v>#REF!</v>
      </c>
      <c r="EX14" t="e">
        <f>AND(#REF!,"AAAAAH72nZk=")</f>
        <v>#REF!</v>
      </c>
      <c r="EY14" t="e">
        <f>AND(#REF!,"AAAAAH72nZo=")</f>
        <v>#REF!</v>
      </c>
      <c r="EZ14" t="e">
        <f>AND(#REF!,"AAAAAH72nZs=")</f>
        <v>#REF!</v>
      </c>
      <c r="FA14" t="e">
        <f>AND(#REF!,"AAAAAH72nZw=")</f>
        <v>#REF!</v>
      </c>
      <c r="FB14" t="e">
        <f>AND(#REF!,"AAAAAH72nZ0=")</f>
        <v>#REF!</v>
      </c>
      <c r="FC14" t="e">
        <f>AND(#REF!,"AAAAAH72nZ4=")</f>
        <v>#REF!</v>
      </c>
      <c r="FD14" t="e">
        <f>IF(#REF!,"AAAAAH72nZ8=",0)</f>
        <v>#REF!</v>
      </c>
      <c r="FE14" t="e">
        <f>AND(#REF!,"AAAAAH72naA=")</f>
        <v>#REF!</v>
      </c>
      <c r="FF14" t="e">
        <f>AND(#REF!,"AAAAAH72naE=")</f>
        <v>#REF!</v>
      </c>
      <c r="FG14" t="e">
        <f>AND(#REF!,"AAAAAH72naI=")</f>
        <v>#REF!</v>
      </c>
      <c r="FH14" t="e">
        <f>AND(#REF!,"AAAAAH72naM=")</f>
        <v>#REF!</v>
      </c>
      <c r="FI14" t="e">
        <f>AND(#REF!,"AAAAAH72naQ=")</f>
        <v>#REF!</v>
      </c>
      <c r="FJ14" t="e">
        <f>AND(#REF!,"AAAAAH72naU=")</f>
        <v>#REF!</v>
      </c>
      <c r="FK14" t="e">
        <f>AND(#REF!,"AAAAAH72naY=")</f>
        <v>#REF!</v>
      </c>
      <c r="FL14" t="e">
        <f>AND(#REF!,"AAAAAH72nac=")</f>
        <v>#REF!</v>
      </c>
      <c r="FM14" t="e">
        <f>AND(#REF!,"AAAAAH72nag=")</f>
        <v>#REF!</v>
      </c>
      <c r="FN14" t="e">
        <f>AND(#REF!,"AAAAAH72nak=")</f>
        <v>#REF!</v>
      </c>
      <c r="FO14" t="e">
        <f>AND(#REF!,"AAAAAH72nao=")</f>
        <v>#REF!</v>
      </c>
      <c r="FP14" t="e">
        <f>AND(#REF!,"AAAAAH72nas=")</f>
        <v>#REF!</v>
      </c>
      <c r="FQ14" t="e">
        <f>IF(#REF!,"AAAAAH72naw=",0)</f>
        <v>#REF!</v>
      </c>
      <c r="FR14" t="e">
        <f>AND(#REF!,"AAAAAH72na0=")</f>
        <v>#REF!</v>
      </c>
      <c r="FS14" t="e">
        <f>AND(#REF!,"AAAAAH72na4=")</f>
        <v>#REF!</v>
      </c>
      <c r="FT14" t="e">
        <f>AND(#REF!,"AAAAAH72na8=")</f>
        <v>#REF!</v>
      </c>
      <c r="FU14" t="e">
        <f>AND(#REF!,"AAAAAH72nbA=")</f>
        <v>#REF!</v>
      </c>
      <c r="FV14" t="e">
        <f>AND(#REF!,"AAAAAH72nbE=")</f>
        <v>#REF!</v>
      </c>
      <c r="FW14" t="e">
        <f>AND(#REF!,"AAAAAH72nbI=")</f>
        <v>#REF!</v>
      </c>
      <c r="FX14" t="e">
        <f>AND(#REF!,"AAAAAH72nbM=")</f>
        <v>#REF!</v>
      </c>
      <c r="FY14" t="e">
        <f>AND(#REF!,"AAAAAH72nbQ=")</f>
        <v>#REF!</v>
      </c>
      <c r="FZ14" t="e">
        <f>AND(#REF!,"AAAAAH72nbU=")</f>
        <v>#REF!</v>
      </c>
      <c r="GA14" t="e">
        <f>AND(#REF!,"AAAAAH72nbY=")</f>
        <v>#REF!</v>
      </c>
      <c r="GB14" t="e">
        <f>AND(#REF!,"AAAAAH72nbc=")</f>
        <v>#REF!</v>
      </c>
      <c r="GC14" t="e">
        <f>AND(#REF!,"AAAAAH72nbg=")</f>
        <v>#REF!</v>
      </c>
      <c r="GD14" t="e">
        <f>IF(#REF!,"AAAAAH72nbk=",0)</f>
        <v>#REF!</v>
      </c>
      <c r="GE14" t="e">
        <f>AND(#REF!,"AAAAAH72nbo=")</f>
        <v>#REF!</v>
      </c>
      <c r="GF14" t="e">
        <f>AND(#REF!,"AAAAAH72nbs=")</f>
        <v>#REF!</v>
      </c>
      <c r="GG14" t="e">
        <f>AND(#REF!,"AAAAAH72nbw=")</f>
        <v>#REF!</v>
      </c>
      <c r="GH14" t="e">
        <f>AND(#REF!,"AAAAAH72nb0=")</f>
        <v>#REF!</v>
      </c>
      <c r="GI14" t="e">
        <f>AND(#REF!,"AAAAAH72nb4=")</f>
        <v>#REF!</v>
      </c>
      <c r="GJ14" t="e">
        <f>AND(#REF!,"AAAAAH72nb8=")</f>
        <v>#REF!</v>
      </c>
      <c r="GK14" t="e">
        <f>AND(#REF!,"AAAAAH72ncA=")</f>
        <v>#REF!</v>
      </c>
      <c r="GL14" t="e">
        <f>AND(#REF!,"AAAAAH72ncE=")</f>
        <v>#REF!</v>
      </c>
      <c r="GM14" t="e">
        <f>AND(#REF!,"AAAAAH72ncI=")</f>
        <v>#REF!</v>
      </c>
      <c r="GN14" t="e">
        <f>AND(#REF!,"AAAAAH72ncM=")</f>
        <v>#REF!</v>
      </c>
      <c r="GO14" t="e">
        <f>AND(#REF!,"AAAAAH72ncQ=")</f>
        <v>#REF!</v>
      </c>
      <c r="GP14" t="e">
        <f>AND(#REF!,"AAAAAH72ncU=")</f>
        <v>#REF!</v>
      </c>
      <c r="GQ14" t="e">
        <f>IF(#REF!,"AAAAAH72ncY=",0)</f>
        <v>#REF!</v>
      </c>
      <c r="GR14" t="e">
        <f>AND(#REF!,"AAAAAH72ncc=")</f>
        <v>#REF!</v>
      </c>
      <c r="GS14" t="e">
        <f>AND(#REF!,"AAAAAH72ncg=")</f>
        <v>#REF!</v>
      </c>
      <c r="GT14" t="e">
        <f>AND(#REF!,"AAAAAH72nck=")</f>
        <v>#REF!</v>
      </c>
      <c r="GU14" t="e">
        <f>AND(#REF!,"AAAAAH72nco=")</f>
        <v>#REF!</v>
      </c>
      <c r="GV14" t="e">
        <f>AND(#REF!,"AAAAAH72ncs=")</f>
        <v>#REF!</v>
      </c>
      <c r="GW14" t="e">
        <f>AND(#REF!,"AAAAAH72ncw=")</f>
        <v>#REF!</v>
      </c>
      <c r="GX14" t="e">
        <f>AND(#REF!,"AAAAAH72nc0=")</f>
        <v>#REF!</v>
      </c>
      <c r="GY14" t="e">
        <f>AND(#REF!,"AAAAAH72nc4=")</f>
        <v>#REF!</v>
      </c>
      <c r="GZ14" t="e">
        <f>AND(#REF!,"AAAAAH72nc8=")</f>
        <v>#REF!</v>
      </c>
      <c r="HA14" t="e">
        <f>AND(#REF!,"AAAAAH72ndA=")</f>
        <v>#REF!</v>
      </c>
      <c r="HB14" t="e">
        <f>AND(#REF!,"AAAAAH72ndE=")</f>
        <v>#REF!</v>
      </c>
      <c r="HC14" t="e">
        <f>AND(#REF!,"AAAAAH72ndI=")</f>
        <v>#REF!</v>
      </c>
      <c r="HD14" t="e">
        <f>IF(#REF!,"AAAAAH72ndM=",0)</f>
        <v>#REF!</v>
      </c>
      <c r="HE14" t="e">
        <f>AND(#REF!,"AAAAAH72ndQ=")</f>
        <v>#REF!</v>
      </c>
      <c r="HF14" t="e">
        <f>AND(#REF!,"AAAAAH72ndU=")</f>
        <v>#REF!</v>
      </c>
      <c r="HG14" t="e">
        <f>AND(#REF!,"AAAAAH72ndY=")</f>
        <v>#REF!</v>
      </c>
      <c r="HH14" t="e">
        <f>AND(#REF!,"AAAAAH72ndc=")</f>
        <v>#REF!</v>
      </c>
      <c r="HI14" t="e">
        <f>AND(#REF!,"AAAAAH72ndg=")</f>
        <v>#REF!</v>
      </c>
      <c r="HJ14" t="e">
        <f>AND(#REF!,"AAAAAH72ndk=")</f>
        <v>#REF!</v>
      </c>
      <c r="HK14" t="e">
        <f>AND(#REF!,"AAAAAH72ndo=")</f>
        <v>#REF!</v>
      </c>
      <c r="HL14" t="e">
        <f>AND(#REF!,"AAAAAH72nds=")</f>
        <v>#REF!</v>
      </c>
      <c r="HM14" t="e">
        <f>AND(#REF!,"AAAAAH72ndw=")</f>
        <v>#REF!</v>
      </c>
      <c r="HN14" t="e">
        <f>AND(#REF!,"AAAAAH72nd0=")</f>
        <v>#REF!</v>
      </c>
      <c r="HO14" t="e">
        <f>AND(#REF!,"AAAAAH72nd4=")</f>
        <v>#REF!</v>
      </c>
      <c r="HP14" t="e">
        <f>AND(#REF!,"AAAAAH72nd8=")</f>
        <v>#REF!</v>
      </c>
      <c r="HQ14" t="e">
        <f>IF(#REF!,"AAAAAH72neA=",0)</f>
        <v>#REF!</v>
      </c>
      <c r="HR14" t="e">
        <f>AND(#REF!,"AAAAAH72neE=")</f>
        <v>#REF!</v>
      </c>
      <c r="HS14" t="e">
        <f>AND(#REF!,"AAAAAH72neI=")</f>
        <v>#REF!</v>
      </c>
      <c r="HT14" t="e">
        <f>AND(#REF!,"AAAAAH72neM=")</f>
        <v>#REF!</v>
      </c>
      <c r="HU14" t="e">
        <f>AND(#REF!,"AAAAAH72neQ=")</f>
        <v>#REF!</v>
      </c>
      <c r="HV14" t="e">
        <f>AND(#REF!,"AAAAAH72neU=")</f>
        <v>#REF!</v>
      </c>
      <c r="HW14" t="e">
        <f>AND(#REF!,"AAAAAH72neY=")</f>
        <v>#REF!</v>
      </c>
      <c r="HX14" t="e">
        <f>AND(#REF!,"AAAAAH72nec=")</f>
        <v>#REF!</v>
      </c>
      <c r="HY14" t="e">
        <f>AND(#REF!,"AAAAAH72neg=")</f>
        <v>#REF!</v>
      </c>
      <c r="HZ14" t="e">
        <f>AND(#REF!,"AAAAAH72nek=")</f>
        <v>#REF!</v>
      </c>
      <c r="IA14" t="e">
        <f>AND(#REF!,"AAAAAH72neo=")</f>
        <v>#REF!</v>
      </c>
      <c r="IB14" t="e">
        <f>AND(#REF!,"AAAAAH72nes=")</f>
        <v>#REF!</v>
      </c>
      <c r="IC14" t="e">
        <f>AND(#REF!,"AAAAAH72new=")</f>
        <v>#REF!</v>
      </c>
      <c r="ID14" t="e">
        <f>IF(#REF!,"AAAAAH72ne0=",0)</f>
        <v>#REF!</v>
      </c>
      <c r="IE14" t="e">
        <f>AND(#REF!,"AAAAAH72ne4=")</f>
        <v>#REF!</v>
      </c>
      <c r="IF14" t="e">
        <f>AND(#REF!,"AAAAAH72ne8=")</f>
        <v>#REF!</v>
      </c>
      <c r="IG14" t="e">
        <f>AND(#REF!,"AAAAAH72nfA=")</f>
        <v>#REF!</v>
      </c>
      <c r="IH14" t="e">
        <f>AND(#REF!,"AAAAAH72nfE=")</f>
        <v>#REF!</v>
      </c>
      <c r="II14" t="e">
        <f>AND(#REF!,"AAAAAH72nfI=")</f>
        <v>#REF!</v>
      </c>
      <c r="IJ14" t="e">
        <f>AND(#REF!,"AAAAAH72nfM=")</f>
        <v>#REF!</v>
      </c>
      <c r="IK14" t="e">
        <f>AND(#REF!,"AAAAAH72nfQ=")</f>
        <v>#REF!</v>
      </c>
      <c r="IL14" t="e">
        <f>AND(#REF!,"AAAAAH72nfU=")</f>
        <v>#REF!</v>
      </c>
      <c r="IM14" t="e">
        <f>AND(#REF!,"AAAAAH72nfY=")</f>
        <v>#REF!</v>
      </c>
      <c r="IN14" t="e">
        <f>AND(#REF!,"AAAAAH72nfc=")</f>
        <v>#REF!</v>
      </c>
      <c r="IO14" t="e">
        <f>AND(#REF!,"AAAAAH72nfg=")</f>
        <v>#REF!</v>
      </c>
      <c r="IP14" t="e">
        <f>AND(#REF!,"AAAAAH72nfk=")</f>
        <v>#REF!</v>
      </c>
      <c r="IQ14" t="e">
        <f>IF(#REF!,"AAAAAH72nfo=",0)</f>
        <v>#REF!</v>
      </c>
      <c r="IR14" t="e">
        <f>AND(#REF!,"AAAAAH72nfs=")</f>
        <v>#REF!</v>
      </c>
      <c r="IS14" t="e">
        <f>AND(#REF!,"AAAAAH72nfw=")</f>
        <v>#REF!</v>
      </c>
      <c r="IT14" t="e">
        <f>AND(#REF!,"AAAAAH72nf0=")</f>
        <v>#REF!</v>
      </c>
      <c r="IU14" t="e">
        <f>AND(#REF!,"AAAAAH72nf4=")</f>
        <v>#REF!</v>
      </c>
      <c r="IV14" t="e">
        <f>AND(#REF!,"AAAAAH72nf8=")</f>
        <v>#REF!</v>
      </c>
    </row>
    <row r="15" spans="1:256">
      <c r="A15" t="e">
        <f>AND(#REF!,"AAAAAGfzygA=")</f>
        <v>#REF!</v>
      </c>
      <c r="B15" t="e">
        <f>AND(#REF!,"AAAAAGfzygE=")</f>
        <v>#REF!</v>
      </c>
      <c r="C15" t="e">
        <f>AND(#REF!,"AAAAAGfzygI=")</f>
        <v>#REF!</v>
      </c>
      <c r="D15" t="e">
        <f>AND(#REF!,"AAAAAGfzygM=")</f>
        <v>#REF!</v>
      </c>
      <c r="E15" t="e">
        <f>AND(#REF!,"AAAAAGfzygQ=")</f>
        <v>#REF!</v>
      </c>
      <c r="F15" t="e">
        <f>AND(#REF!,"AAAAAGfzygU=")</f>
        <v>#REF!</v>
      </c>
      <c r="G15" t="e">
        <f>AND(#REF!,"AAAAAGfzygY=")</f>
        <v>#REF!</v>
      </c>
      <c r="H15" t="e">
        <f>IF(#REF!,"AAAAAGfzygc=",0)</f>
        <v>#REF!</v>
      </c>
      <c r="I15" t="e">
        <f>AND(#REF!,"AAAAAGfzygg=")</f>
        <v>#REF!</v>
      </c>
      <c r="J15" t="e">
        <f>AND(#REF!,"AAAAAGfzygk=")</f>
        <v>#REF!</v>
      </c>
      <c r="K15" t="e">
        <f>AND(#REF!,"AAAAAGfzygo=")</f>
        <v>#REF!</v>
      </c>
      <c r="L15" t="e">
        <f>AND(#REF!,"AAAAAGfzygs=")</f>
        <v>#REF!</v>
      </c>
      <c r="M15" t="e">
        <f>AND(#REF!,"AAAAAGfzygw=")</f>
        <v>#REF!</v>
      </c>
      <c r="N15" t="e">
        <f>AND(#REF!,"AAAAAGfzyg0=")</f>
        <v>#REF!</v>
      </c>
      <c r="O15" t="e">
        <f>AND(#REF!,"AAAAAGfzyg4=")</f>
        <v>#REF!</v>
      </c>
      <c r="P15" t="e">
        <f>AND(#REF!,"AAAAAGfzyg8=")</f>
        <v>#REF!</v>
      </c>
      <c r="Q15" t="e">
        <f>AND(#REF!,"AAAAAGfzyhA=")</f>
        <v>#REF!</v>
      </c>
      <c r="R15" t="e">
        <f>AND(#REF!,"AAAAAGfzyhE=")</f>
        <v>#REF!</v>
      </c>
      <c r="S15" t="e">
        <f>AND(#REF!,"AAAAAGfzyhI=")</f>
        <v>#REF!</v>
      </c>
      <c r="T15" t="e">
        <f>AND(#REF!,"AAAAAGfzyhM=")</f>
        <v>#REF!</v>
      </c>
      <c r="U15" t="e">
        <f>IF(#REF!,"AAAAAGfzyhQ=",0)</f>
        <v>#REF!</v>
      </c>
      <c r="V15" t="e">
        <f>AND(#REF!,"AAAAAGfzyhU=")</f>
        <v>#REF!</v>
      </c>
      <c r="W15" t="e">
        <f>AND(#REF!,"AAAAAGfzyhY=")</f>
        <v>#REF!</v>
      </c>
      <c r="X15" t="e">
        <f>AND(#REF!,"AAAAAGfzyhc=")</f>
        <v>#REF!</v>
      </c>
      <c r="Y15" t="e">
        <f>AND(#REF!,"AAAAAGfzyhg=")</f>
        <v>#REF!</v>
      </c>
      <c r="Z15" t="e">
        <f>AND(#REF!,"AAAAAGfzyhk=")</f>
        <v>#REF!</v>
      </c>
      <c r="AA15" t="e">
        <f>AND(#REF!,"AAAAAGfzyho=")</f>
        <v>#REF!</v>
      </c>
      <c r="AB15" t="e">
        <f>AND(#REF!,"AAAAAGfzyhs=")</f>
        <v>#REF!</v>
      </c>
      <c r="AC15" t="e">
        <f>AND(#REF!,"AAAAAGfzyhw=")</f>
        <v>#REF!</v>
      </c>
      <c r="AD15" t="e">
        <f>AND(#REF!,"AAAAAGfzyh0=")</f>
        <v>#REF!</v>
      </c>
      <c r="AE15" t="e">
        <f>AND(#REF!,"AAAAAGfzyh4=")</f>
        <v>#REF!</v>
      </c>
      <c r="AF15" t="e">
        <f>AND(#REF!,"AAAAAGfzyh8=")</f>
        <v>#REF!</v>
      </c>
      <c r="AG15" t="e">
        <f>AND(#REF!,"AAAAAGfzyiA=")</f>
        <v>#REF!</v>
      </c>
      <c r="AH15" t="e">
        <f>IF(#REF!,"AAAAAGfzyiE=",0)</f>
        <v>#REF!</v>
      </c>
      <c r="AI15" t="e">
        <f>AND(#REF!,"AAAAAGfzyiI=")</f>
        <v>#REF!</v>
      </c>
      <c r="AJ15" t="e">
        <f>AND(#REF!,"AAAAAGfzyiM=")</f>
        <v>#REF!</v>
      </c>
      <c r="AK15" t="e">
        <f>AND(#REF!,"AAAAAGfzyiQ=")</f>
        <v>#REF!</v>
      </c>
      <c r="AL15" t="e">
        <f>AND(#REF!,"AAAAAGfzyiU=")</f>
        <v>#REF!</v>
      </c>
      <c r="AM15" t="e">
        <f>AND(#REF!,"AAAAAGfzyiY=")</f>
        <v>#REF!</v>
      </c>
      <c r="AN15" t="e">
        <f>AND(#REF!,"AAAAAGfzyic=")</f>
        <v>#REF!</v>
      </c>
      <c r="AO15" t="e">
        <f>AND(#REF!,"AAAAAGfzyig=")</f>
        <v>#REF!</v>
      </c>
      <c r="AP15" t="e">
        <f>AND(#REF!,"AAAAAGfzyik=")</f>
        <v>#REF!</v>
      </c>
      <c r="AQ15" t="e">
        <f>AND(#REF!,"AAAAAGfzyio=")</f>
        <v>#REF!</v>
      </c>
      <c r="AR15" t="e">
        <f>AND(#REF!,"AAAAAGfzyis=")</f>
        <v>#REF!</v>
      </c>
      <c r="AS15" t="e">
        <f>AND(#REF!,"AAAAAGfzyiw=")</f>
        <v>#REF!</v>
      </c>
      <c r="AT15" t="e">
        <f>AND(#REF!,"AAAAAGfzyi0=")</f>
        <v>#REF!</v>
      </c>
      <c r="AU15" t="e">
        <f>IF(#REF!,"AAAAAGfzyi4=",0)</f>
        <v>#REF!</v>
      </c>
      <c r="AV15" t="e">
        <f>AND(#REF!,"AAAAAGfzyi8=")</f>
        <v>#REF!</v>
      </c>
      <c r="AW15" t="e">
        <f>AND(#REF!,"AAAAAGfzyjA=")</f>
        <v>#REF!</v>
      </c>
      <c r="AX15" t="e">
        <f>AND(#REF!,"AAAAAGfzyjE=")</f>
        <v>#REF!</v>
      </c>
      <c r="AY15" t="e">
        <f>AND(#REF!,"AAAAAGfzyjI=")</f>
        <v>#REF!</v>
      </c>
      <c r="AZ15" t="e">
        <f>AND(#REF!,"AAAAAGfzyjM=")</f>
        <v>#REF!</v>
      </c>
      <c r="BA15" t="e">
        <f>AND(#REF!,"AAAAAGfzyjQ=")</f>
        <v>#REF!</v>
      </c>
      <c r="BB15" t="e">
        <f>AND(#REF!,"AAAAAGfzyjU=")</f>
        <v>#REF!</v>
      </c>
      <c r="BC15" t="e">
        <f>AND(#REF!,"AAAAAGfzyjY=")</f>
        <v>#REF!</v>
      </c>
      <c r="BD15" t="e">
        <f>AND(#REF!,"AAAAAGfzyjc=")</f>
        <v>#REF!</v>
      </c>
      <c r="BE15" t="e">
        <f>AND(#REF!,"AAAAAGfzyjg=")</f>
        <v>#REF!</v>
      </c>
      <c r="BF15" t="e">
        <f>AND(#REF!,"AAAAAGfzyjk=")</f>
        <v>#REF!</v>
      </c>
      <c r="BG15" t="e">
        <f>AND(#REF!,"AAAAAGfzyjo=")</f>
        <v>#REF!</v>
      </c>
      <c r="BH15" t="e">
        <f>IF(#REF!,"AAAAAGfzyjs=",0)</f>
        <v>#REF!</v>
      </c>
      <c r="BI15" t="e">
        <f>AND(#REF!,"AAAAAGfzyjw=")</f>
        <v>#REF!</v>
      </c>
      <c r="BJ15" t="e">
        <f>AND(#REF!,"AAAAAGfzyj0=")</f>
        <v>#REF!</v>
      </c>
      <c r="BK15" t="e">
        <f>AND(#REF!,"AAAAAGfzyj4=")</f>
        <v>#REF!</v>
      </c>
      <c r="BL15" t="e">
        <f>AND(#REF!,"AAAAAGfzyj8=")</f>
        <v>#REF!</v>
      </c>
      <c r="BM15" t="e">
        <f>AND(#REF!,"AAAAAGfzykA=")</f>
        <v>#REF!</v>
      </c>
      <c r="BN15" t="e">
        <f>AND(#REF!,"AAAAAGfzykE=")</f>
        <v>#REF!</v>
      </c>
      <c r="BO15" t="e">
        <f>AND(#REF!,"AAAAAGfzykI=")</f>
        <v>#REF!</v>
      </c>
      <c r="BP15" t="e">
        <f>AND(#REF!,"AAAAAGfzykM=")</f>
        <v>#REF!</v>
      </c>
      <c r="BQ15" t="e">
        <f>AND(#REF!,"AAAAAGfzykQ=")</f>
        <v>#REF!</v>
      </c>
      <c r="BR15" t="e">
        <f>AND(#REF!,"AAAAAGfzykU=")</f>
        <v>#REF!</v>
      </c>
      <c r="BS15" t="e">
        <f>AND(#REF!,"AAAAAGfzykY=")</f>
        <v>#REF!</v>
      </c>
      <c r="BT15" t="e">
        <f>AND(#REF!,"AAAAAGfzykc=")</f>
        <v>#REF!</v>
      </c>
      <c r="BU15" t="e">
        <f>IF(#REF!,"AAAAAGfzykg=",0)</f>
        <v>#REF!</v>
      </c>
      <c r="BV15" t="e">
        <f>AND(#REF!,"AAAAAGfzykk=")</f>
        <v>#REF!</v>
      </c>
      <c r="BW15" t="e">
        <f>AND(#REF!,"AAAAAGfzyko=")</f>
        <v>#REF!</v>
      </c>
      <c r="BX15" t="e">
        <f>AND(#REF!,"AAAAAGfzyks=")</f>
        <v>#REF!</v>
      </c>
      <c r="BY15" t="e">
        <f>AND(#REF!,"AAAAAGfzykw=")</f>
        <v>#REF!</v>
      </c>
      <c r="BZ15" t="e">
        <f>AND(#REF!,"AAAAAGfzyk0=")</f>
        <v>#REF!</v>
      </c>
      <c r="CA15" t="e">
        <f>AND(#REF!,"AAAAAGfzyk4=")</f>
        <v>#REF!</v>
      </c>
      <c r="CB15" t="e">
        <f>AND(#REF!,"AAAAAGfzyk8=")</f>
        <v>#REF!</v>
      </c>
      <c r="CC15" t="e">
        <f>AND(#REF!,"AAAAAGfzylA=")</f>
        <v>#REF!</v>
      </c>
      <c r="CD15" t="e">
        <f>AND(#REF!,"AAAAAGfzylE=")</f>
        <v>#REF!</v>
      </c>
      <c r="CE15" t="e">
        <f>AND(#REF!,"AAAAAGfzylI=")</f>
        <v>#REF!</v>
      </c>
      <c r="CF15" t="e">
        <f>AND(#REF!,"AAAAAGfzylM=")</f>
        <v>#REF!</v>
      </c>
      <c r="CG15" t="e">
        <f>AND(#REF!,"AAAAAGfzylQ=")</f>
        <v>#REF!</v>
      </c>
      <c r="CH15" t="e">
        <f>IF(#REF!,"AAAAAGfzylU=",0)</f>
        <v>#REF!</v>
      </c>
      <c r="CI15" t="e">
        <f>AND(#REF!,"AAAAAGfzylY=")</f>
        <v>#REF!</v>
      </c>
      <c r="CJ15" t="e">
        <f>AND(#REF!,"AAAAAGfzylc=")</f>
        <v>#REF!</v>
      </c>
      <c r="CK15" t="e">
        <f>AND(#REF!,"AAAAAGfzylg=")</f>
        <v>#REF!</v>
      </c>
      <c r="CL15" t="e">
        <f>AND(#REF!,"AAAAAGfzylk=")</f>
        <v>#REF!</v>
      </c>
      <c r="CM15" t="e">
        <f>AND(#REF!,"AAAAAGfzylo=")</f>
        <v>#REF!</v>
      </c>
      <c r="CN15" t="e">
        <f>AND(#REF!,"AAAAAGfzyls=")</f>
        <v>#REF!</v>
      </c>
      <c r="CO15" t="e">
        <f>AND(#REF!,"AAAAAGfzylw=")</f>
        <v>#REF!</v>
      </c>
      <c r="CP15" t="e">
        <f>AND(#REF!,"AAAAAGfzyl0=")</f>
        <v>#REF!</v>
      </c>
      <c r="CQ15" t="e">
        <f>AND(#REF!,"AAAAAGfzyl4=")</f>
        <v>#REF!</v>
      </c>
      <c r="CR15" t="e">
        <f>AND(#REF!,"AAAAAGfzyl8=")</f>
        <v>#REF!</v>
      </c>
      <c r="CS15" t="e">
        <f>AND(#REF!,"AAAAAGfzymA=")</f>
        <v>#REF!</v>
      </c>
      <c r="CT15" t="e">
        <f>AND(#REF!,"AAAAAGfzymE=")</f>
        <v>#REF!</v>
      </c>
      <c r="CU15" t="e">
        <f>IF(#REF!,"AAAAAGfzymI=",0)</f>
        <v>#REF!</v>
      </c>
      <c r="CV15" t="e">
        <f>AND(#REF!,"AAAAAGfzymM=")</f>
        <v>#REF!</v>
      </c>
      <c r="CW15" t="e">
        <f>AND(#REF!,"AAAAAGfzymQ=")</f>
        <v>#REF!</v>
      </c>
      <c r="CX15" t="e">
        <f>AND(#REF!,"AAAAAGfzymU=")</f>
        <v>#REF!</v>
      </c>
      <c r="CY15" t="e">
        <f>AND(#REF!,"AAAAAGfzymY=")</f>
        <v>#REF!</v>
      </c>
      <c r="CZ15" t="e">
        <f>AND(#REF!,"AAAAAGfzymc=")</f>
        <v>#REF!</v>
      </c>
      <c r="DA15" t="e">
        <f>AND(#REF!,"AAAAAGfzymg=")</f>
        <v>#REF!</v>
      </c>
      <c r="DB15" t="e">
        <f>AND(#REF!,"AAAAAGfzymk=")</f>
        <v>#REF!</v>
      </c>
      <c r="DC15" t="e">
        <f>AND(#REF!,"AAAAAGfzymo=")</f>
        <v>#REF!</v>
      </c>
      <c r="DD15" t="e">
        <f>AND(#REF!,"AAAAAGfzyms=")</f>
        <v>#REF!</v>
      </c>
      <c r="DE15" t="e">
        <f>AND(#REF!,"AAAAAGfzymw=")</f>
        <v>#REF!</v>
      </c>
      <c r="DF15" t="e">
        <f>AND(#REF!,"AAAAAGfzym0=")</f>
        <v>#REF!</v>
      </c>
      <c r="DG15" t="e">
        <f>AND(#REF!,"AAAAAGfzym4=")</f>
        <v>#REF!</v>
      </c>
      <c r="DH15" t="e">
        <f>IF(#REF!,"AAAAAGfzym8=",0)</f>
        <v>#REF!</v>
      </c>
      <c r="DI15" t="e">
        <f>AND(#REF!,"AAAAAGfzynA=")</f>
        <v>#REF!</v>
      </c>
      <c r="DJ15" t="e">
        <f>AND(#REF!,"AAAAAGfzynE=")</f>
        <v>#REF!</v>
      </c>
      <c r="DK15" t="e">
        <f>AND(#REF!,"AAAAAGfzynI=")</f>
        <v>#REF!</v>
      </c>
      <c r="DL15" t="e">
        <f>AND(#REF!,"AAAAAGfzynM=")</f>
        <v>#REF!</v>
      </c>
      <c r="DM15" t="e">
        <f>AND(#REF!,"AAAAAGfzynQ=")</f>
        <v>#REF!</v>
      </c>
      <c r="DN15" t="e">
        <f>AND(#REF!,"AAAAAGfzynU=")</f>
        <v>#REF!</v>
      </c>
      <c r="DO15" t="e">
        <f>AND(#REF!,"AAAAAGfzynY=")</f>
        <v>#REF!</v>
      </c>
      <c r="DP15" t="e">
        <f>AND(#REF!,"AAAAAGfzync=")</f>
        <v>#REF!</v>
      </c>
      <c r="DQ15" t="e">
        <f>AND(#REF!,"AAAAAGfzyng=")</f>
        <v>#REF!</v>
      </c>
      <c r="DR15" t="e">
        <f>AND(#REF!,"AAAAAGfzynk=")</f>
        <v>#REF!</v>
      </c>
      <c r="DS15" t="e">
        <f>AND(#REF!,"AAAAAGfzyno=")</f>
        <v>#REF!</v>
      </c>
      <c r="DT15" t="e">
        <f>AND(#REF!,"AAAAAGfzyns=")</f>
        <v>#REF!</v>
      </c>
      <c r="DU15" t="e">
        <f>IF(#REF!,"AAAAAGfzynw=",0)</f>
        <v>#REF!</v>
      </c>
      <c r="DV15" t="e">
        <f>AND(#REF!,"AAAAAGfzyn0=")</f>
        <v>#REF!</v>
      </c>
      <c r="DW15" t="e">
        <f>AND(#REF!,"AAAAAGfzyn4=")</f>
        <v>#REF!</v>
      </c>
      <c r="DX15" t="e">
        <f>AND(#REF!,"AAAAAGfzyn8=")</f>
        <v>#REF!</v>
      </c>
      <c r="DY15" t="e">
        <f>AND(#REF!,"AAAAAGfzyoA=")</f>
        <v>#REF!</v>
      </c>
      <c r="DZ15" t="e">
        <f>AND(#REF!,"AAAAAGfzyoE=")</f>
        <v>#REF!</v>
      </c>
      <c r="EA15" t="e">
        <f>AND(#REF!,"AAAAAGfzyoI=")</f>
        <v>#REF!</v>
      </c>
      <c r="EB15" t="e">
        <f>AND(#REF!,"AAAAAGfzyoM=")</f>
        <v>#REF!</v>
      </c>
      <c r="EC15" t="e">
        <f>AND(#REF!,"AAAAAGfzyoQ=")</f>
        <v>#REF!</v>
      </c>
      <c r="ED15" t="e">
        <f>AND(#REF!,"AAAAAGfzyoU=")</f>
        <v>#REF!</v>
      </c>
      <c r="EE15" t="e">
        <f>AND(#REF!,"AAAAAGfzyoY=")</f>
        <v>#REF!</v>
      </c>
      <c r="EF15" t="e">
        <f>AND(#REF!,"AAAAAGfzyoc=")</f>
        <v>#REF!</v>
      </c>
      <c r="EG15" t="e">
        <f>AND(#REF!,"AAAAAGfzyog=")</f>
        <v>#REF!</v>
      </c>
      <c r="EH15" t="e">
        <f>IF(#REF!,"AAAAAGfzyok=",0)</f>
        <v>#REF!</v>
      </c>
      <c r="EI15" t="e">
        <f>AND(#REF!,"AAAAAGfzyoo=")</f>
        <v>#REF!</v>
      </c>
      <c r="EJ15" t="e">
        <f>AND(#REF!,"AAAAAGfzyos=")</f>
        <v>#REF!</v>
      </c>
      <c r="EK15" t="e">
        <f>AND(#REF!,"AAAAAGfzyow=")</f>
        <v>#REF!</v>
      </c>
      <c r="EL15" t="e">
        <f>AND(#REF!,"AAAAAGfzyo0=")</f>
        <v>#REF!</v>
      </c>
      <c r="EM15" t="e">
        <f>AND(#REF!,"AAAAAGfzyo4=")</f>
        <v>#REF!</v>
      </c>
      <c r="EN15" t="e">
        <f>AND(#REF!,"AAAAAGfzyo8=")</f>
        <v>#REF!</v>
      </c>
      <c r="EO15" t="e">
        <f>AND(#REF!,"AAAAAGfzypA=")</f>
        <v>#REF!</v>
      </c>
      <c r="EP15" t="e">
        <f>AND(#REF!,"AAAAAGfzypE=")</f>
        <v>#REF!</v>
      </c>
      <c r="EQ15" t="e">
        <f>AND(#REF!,"AAAAAGfzypI=")</f>
        <v>#REF!</v>
      </c>
      <c r="ER15" t="e">
        <f>AND(#REF!,"AAAAAGfzypM=")</f>
        <v>#REF!</v>
      </c>
      <c r="ES15" t="e">
        <f>AND(#REF!,"AAAAAGfzypQ=")</f>
        <v>#REF!</v>
      </c>
      <c r="ET15" t="e">
        <f>AND(#REF!,"AAAAAGfzypU=")</f>
        <v>#REF!</v>
      </c>
      <c r="EU15" t="e">
        <f>IF(#REF!,"AAAAAGfzypY=",0)</f>
        <v>#REF!</v>
      </c>
      <c r="EV15" t="e">
        <f>AND(#REF!,"AAAAAGfzypc=")</f>
        <v>#REF!</v>
      </c>
      <c r="EW15" t="e">
        <f>AND(#REF!,"AAAAAGfzypg=")</f>
        <v>#REF!</v>
      </c>
      <c r="EX15" t="e">
        <f>AND(#REF!,"AAAAAGfzypk=")</f>
        <v>#REF!</v>
      </c>
      <c r="EY15" t="e">
        <f>AND(#REF!,"AAAAAGfzypo=")</f>
        <v>#REF!</v>
      </c>
      <c r="EZ15" t="e">
        <f>AND(#REF!,"AAAAAGfzyps=")</f>
        <v>#REF!</v>
      </c>
      <c r="FA15" t="e">
        <f>AND(#REF!,"AAAAAGfzypw=")</f>
        <v>#REF!</v>
      </c>
      <c r="FB15" t="e">
        <f>AND(#REF!,"AAAAAGfzyp0=")</f>
        <v>#REF!</v>
      </c>
      <c r="FC15" t="e">
        <f>AND(#REF!,"AAAAAGfzyp4=")</f>
        <v>#REF!</v>
      </c>
      <c r="FD15" t="e">
        <f>AND(#REF!,"AAAAAGfzyp8=")</f>
        <v>#REF!</v>
      </c>
      <c r="FE15" t="e">
        <f>AND(#REF!,"AAAAAGfzyqA=")</f>
        <v>#REF!</v>
      </c>
      <c r="FF15" t="e">
        <f>AND(#REF!,"AAAAAGfzyqE=")</f>
        <v>#REF!</v>
      </c>
      <c r="FG15" t="e">
        <f>AND(#REF!,"AAAAAGfzyqI=")</f>
        <v>#REF!</v>
      </c>
      <c r="FH15" t="e">
        <f>IF(#REF!,"AAAAAGfzyqM=",0)</f>
        <v>#REF!</v>
      </c>
      <c r="FI15" t="e">
        <f>AND(#REF!,"AAAAAGfzyqQ=")</f>
        <v>#REF!</v>
      </c>
      <c r="FJ15" t="e">
        <f>AND(#REF!,"AAAAAGfzyqU=")</f>
        <v>#REF!</v>
      </c>
      <c r="FK15" t="e">
        <f>AND(#REF!,"AAAAAGfzyqY=")</f>
        <v>#REF!</v>
      </c>
      <c r="FL15" t="e">
        <f>AND(#REF!,"AAAAAGfzyqc=")</f>
        <v>#REF!</v>
      </c>
      <c r="FM15" t="e">
        <f>AND(#REF!,"AAAAAGfzyqg=")</f>
        <v>#REF!</v>
      </c>
      <c r="FN15" t="e">
        <f>AND(#REF!,"AAAAAGfzyqk=")</f>
        <v>#REF!</v>
      </c>
      <c r="FO15" t="e">
        <f>AND(#REF!,"AAAAAGfzyqo=")</f>
        <v>#REF!</v>
      </c>
      <c r="FP15" t="e">
        <f>AND(#REF!,"AAAAAGfzyqs=")</f>
        <v>#REF!</v>
      </c>
      <c r="FQ15" t="e">
        <f>AND(#REF!,"AAAAAGfzyqw=")</f>
        <v>#REF!</v>
      </c>
      <c r="FR15" t="e">
        <f>AND(#REF!,"AAAAAGfzyq0=")</f>
        <v>#REF!</v>
      </c>
      <c r="FS15" t="e">
        <f>AND(#REF!,"AAAAAGfzyq4=")</f>
        <v>#REF!</v>
      </c>
      <c r="FT15" t="e">
        <f>AND(#REF!,"AAAAAGfzyq8=")</f>
        <v>#REF!</v>
      </c>
      <c r="FU15" t="e">
        <f>IF(#REF!,"AAAAAGfzyrA=",0)</f>
        <v>#REF!</v>
      </c>
      <c r="FV15" t="e">
        <f>AND(#REF!,"AAAAAGfzyrE=")</f>
        <v>#REF!</v>
      </c>
      <c r="FW15" t="e">
        <f>AND(#REF!,"AAAAAGfzyrI=")</f>
        <v>#REF!</v>
      </c>
      <c r="FX15" t="e">
        <f>AND(#REF!,"AAAAAGfzyrM=")</f>
        <v>#REF!</v>
      </c>
      <c r="FY15" t="e">
        <f>AND(#REF!,"AAAAAGfzyrQ=")</f>
        <v>#REF!</v>
      </c>
      <c r="FZ15" t="e">
        <f>AND(#REF!,"AAAAAGfzyrU=")</f>
        <v>#REF!</v>
      </c>
      <c r="GA15" t="e">
        <f>AND(#REF!,"AAAAAGfzyrY=")</f>
        <v>#REF!</v>
      </c>
      <c r="GB15" t="e">
        <f>AND(#REF!,"AAAAAGfzyrc=")</f>
        <v>#REF!</v>
      </c>
      <c r="GC15" t="e">
        <f>AND(#REF!,"AAAAAGfzyrg=")</f>
        <v>#REF!</v>
      </c>
      <c r="GD15" t="e">
        <f>AND(#REF!,"AAAAAGfzyrk=")</f>
        <v>#REF!</v>
      </c>
      <c r="GE15" t="e">
        <f>AND(#REF!,"AAAAAGfzyro=")</f>
        <v>#REF!</v>
      </c>
      <c r="GF15" t="e">
        <f>AND(#REF!,"AAAAAGfzyrs=")</f>
        <v>#REF!</v>
      </c>
      <c r="GG15" t="e">
        <f>AND(#REF!,"AAAAAGfzyrw=")</f>
        <v>#REF!</v>
      </c>
      <c r="GH15" t="e">
        <f>IF(#REF!,"AAAAAGfzyr0=",0)</f>
        <v>#REF!</v>
      </c>
      <c r="GI15" t="e">
        <f>AND(#REF!,"AAAAAGfzyr4=")</f>
        <v>#REF!</v>
      </c>
      <c r="GJ15" t="e">
        <f>AND(#REF!,"AAAAAGfzyr8=")</f>
        <v>#REF!</v>
      </c>
      <c r="GK15" t="e">
        <f>AND(#REF!,"AAAAAGfzysA=")</f>
        <v>#REF!</v>
      </c>
      <c r="GL15" t="e">
        <f>AND(#REF!,"AAAAAGfzysE=")</f>
        <v>#REF!</v>
      </c>
      <c r="GM15" t="e">
        <f>AND(#REF!,"AAAAAGfzysI=")</f>
        <v>#REF!</v>
      </c>
      <c r="GN15" t="e">
        <f>AND(#REF!,"AAAAAGfzysM=")</f>
        <v>#REF!</v>
      </c>
      <c r="GO15" t="e">
        <f>AND(#REF!,"AAAAAGfzysQ=")</f>
        <v>#REF!</v>
      </c>
      <c r="GP15" t="e">
        <f>AND(#REF!,"AAAAAGfzysU=")</f>
        <v>#REF!</v>
      </c>
      <c r="GQ15" t="e">
        <f>AND(#REF!,"AAAAAGfzysY=")</f>
        <v>#REF!</v>
      </c>
      <c r="GR15" t="e">
        <f>AND(#REF!,"AAAAAGfzysc=")</f>
        <v>#REF!</v>
      </c>
      <c r="GS15" t="e">
        <f>AND(#REF!,"AAAAAGfzysg=")</f>
        <v>#REF!</v>
      </c>
      <c r="GT15" t="e">
        <f>AND(#REF!,"AAAAAGfzysk=")</f>
        <v>#REF!</v>
      </c>
      <c r="GU15" t="e">
        <f>IF(#REF!,"AAAAAGfzyso=",0)</f>
        <v>#REF!</v>
      </c>
      <c r="GV15" t="e">
        <f>AND(#REF!,"AAAAAGfzyss=")</f>
        <v>#REF!</v>
      </c>
      <c r="GW15" t="e">
        <f>AND(#REF!,"AAAAAGfzysw=")</f>
        <v>#REF!</v>
      </c>
      <c r="GX15" t="e">
        <f>AND(#REF!,"AAAAAGfzys0=")</f>
        <v>#REF!</v>
      </c>
      <c r="GY15" t="e">
        <f>AND(#REF!,"AAAAAGfzys4=")</f>
        <v>#REF!</v>
      </c>
      <c r="GZ15" t="e">
        <f>AND(#REF!,"AAAAAGfzys8=")</f>
        <v>#REF!</v>
      </c>
      <c r="HA15" t="e">
        <f>AND(#REF!,"AAAAAGfzytA=")</f>
        <v>#REF!</v>
      </c>
      <c r="HB15" t="e">
        <f>AND(#REF!,"AAAAAGfzytE=")</f>
        <v>#REF!</v>
      </c>
      <c r="HC15" t="e">
        <f>AND(#REF!,"AAAAAGfzytI=")</f>
        <v>#REF!</v>
      </c>
      <c r="HD15" t="e">
        <f>AND(#REF!,"AAAAAGfzytM=")</f>
        <v>#REF!</v>
      </c>
      <c r="HE15" t="e">
        <f>AND(#REF!,"AAAAAGfzytQ=")</f>
        <v>#REF!</v>
      </c>
      <c r="HF15" t="e">
        <f>AND(#REF!,"AAAAAGfzytU=")</f>
        <v>#REF!</v>
      </c>
      <c r="HG15" t="e">
        <f>AND(#REF!,"AAAAAGfzytY=")</f>
        <v>#REF!</v>
      </c>
      <c r="HH15" t="e">
        <f>IF(#REF!,"AAAAAGfzytc=",0)</f>
        <v>#REF!</v>
      </c>
      <c r="HI15" t="e">
        <f>AND(#REF!,"AAAAAGfzytg=")</f>
        <v>#REF!</v>
      </c>
      <c r="HJ15" t="e">
        <f>AND(#REF!,"AAAAAGfzytk=")</f>
        <v>#REF!</v>
      </c>
      <c r="HK15" t="e">
        <f>AND(#REF!,"AAAAAGfzyto=")</f>
        <v>#REF!</v>
      </c>
      <c r="HL15" t="e">
        <f>AND(#REF!,"AAAAAGfzyts=")</f>
        <v>#REF!</v>
      </c>
      <c r="HM15" t="e">
        <f>AND(#REF!,"AAAAAGfzytw=")</f>
        <v>#REF!</v>
      </c>
      <c r="HN15" t="e">
        <f>AND(#REF!,"AAAAAGfzyt0=")</f>
        <v>#REF!</v>
      </c>
      <c r="HO15" t="e">
        <f>AND(#REF!,"AAAAAGfzyt4=")</f>
        <v>#REF!</v>
      </c>
      <c r="HP15" t="e">
        <f>AND(#REF!,"AAAAAGfzyt8=")</f>
        <v>#REF!</v>
      </c>
      <c r="HQ15" t="e">
        <f>AND(#REF!,"AAAAAGfzyuA=")</f>
        <v>#REF!</v>
      </c>
      <c r="HR15" t="e">
        <f>AND(#REF!,"AAAAAGfzyuE=")</f>
        <v>#REF!</v>
      </c>
      <c r="HS15" t="e">
        <f>AND(#REF!,"AAAAAGfzyuI=")</f>
        <v>#REF!</v>
      </c>
      <c r="HT15" t="e">
        <f>AND(#REF!,"AAAAAGfzyuM=")</f>
        <v>#REF!</v>
      </c>
      <c r="HU15" t="e">
        <f>IF(#REF!,"AAAAAGfzyuQ=",0)</f>
        <v>#REF!</v>
      </c>
      <c r="HV15" t="e">
        <f>AND(#REF!,"AAAAAGfzyuU=")</f>
        <v>#REF!</v>
      </c>
      <c r="HW15" t="e">
        <f>AND(#REF!,"AAAAAGfzyuY=")</f>
        <v>#REF!</v>
      </c>
      <c r="HX15" t="e">
        <f>AND(#REF!,"AAAAAGfzyuc=")</f>
        <v>#REF!</v>
      </c>
      <c r="HY15" t="e">
        <f>AND(#REF!,"AAAAAGfzyug=")</f>
        <v>#REF!</v>
      </c>
      <c r="HZ15" t="e">
        <f>AND(#REF!,"AAAAAGfzyuk=")</f>
        <v>#REF!</v>
      </c>
      <c r="IA15" t="e">
        <f>AND(#REF!,"AAAAAGfzyuo=")</f>
        <v>#REF!</v>
      </c>
      <c r="IB15" t="e">
        <f>AND(#REF!,"AAAAAGfzyus=")</f>
        <v>#REF!</v>
      </c>
      <c r="IC15" t="e">
        <f>AND(#REF!,"AAAAAGfzyuw=")</f>
        <v>#REF!</v>
      </c>
      <c r="ID15" t="e">
        <f>AND(#REF!,"AAAAAGfzyu0=")</f>
        <v>#REF!</v>
      </c>
      <c r="IE15" t="e">
        <f>AND(#REF!,"AAAAAGfzyu4=")</f>
        <v>#REF!</v>
      </c>
      <c r="IF15" t="e">
        <f>AND(#REF!,"AAAAAGfzyu8=")</f>
        <v>#REF!</v>
      </c>
      <c r="IG15" t="e">
        <f>AND(#REF!,"AAAAAGfzyvA=")</f>
        <v>#REF!</v>
      </c>
      <c r="IH15" t="e">
        <f>IF(#REF!,"AAAAAGfzyvE=",0)</f>
        <v>#REF!</v>
      </c>
      <c r="II15" t="e">
        <f>AND(#REF!,"AAAAAGfzyvI=")</f>
        <v>#REF!</v>
      </c>
      <c r="IJ15" t="e">
        <f>AND(#REF!,"AAAAAGfzyvM=")</f>
        <v>#REF!</v>
      </c>
      <c r="IK15" t="e">
        <f>AND(#REF!,"AAAAAGfzyvQ=")</f>
        <v>#REF!</v>
      </c>
      <c r="IL15" t="e">
        <f>AND(#REF!,"AAAAAGfzyvU=")</f>
        <v>#REF!</v>
      </c>
      <c r="IM15" t="e">
        <f>AND(#REF!,"AAAAAGfzyvY=")</f>
        <v>#REF!</v>
      </c>
      <c r="IN15" t="e">
        <f>AND(#REF!,"AAAAAGfzyvc=")</f>
        <v>#REF!</v>
      </c>
      <c r="IO15" t="e">
        <f>AND(#REF!,"AAAAAGfzyvg=")</f>
        <v>#REF!</v>
      </c>
      <c r="IP15" t="e">
        <f>AND(#REF!,"AAAAAGfzyvk=")</f>
        <v>#REF!</v>
      </c>
      <c r="IQ15" t="e">
        <f>AND(#REF!,"AAAAAGfzyvo=")</f>
        <v>#REF!</v>
      </c>
      <c r="IR15" t="e">
        <f>AND(#REF!,"AAAAAGfzyvs=")</f>
        <v>#REF!</v>
      </c>
      <c r="IS15" t="e">
        <f>AND(#REF!,"AAAAAGfzyvw=")</f>
        <v>#REF!</v>
      </c>
      <c r="IT15" t="e">
        <f>AND(#REF!,"AAAAAGfzyv0=")</f>
        <v>#REF!</v>
      </c>
      <c r="IU15" t="e">
        <f>IF(#REF!,"AAAAAGfzyv4=",0)</f>
        <v>#REF!</v>
      </c>
      <c r="IV15" t="e">
        <f>AND(#REF!,"AAAAAGfzyv8=")</f>
        <v>#REF!</v>
      </c>
    </row>
    <row r="16" spans="1:256">
      <c r="A16" t="e">
        <f>AND(#REF!,"AAAAAHc+7wA=")</f>
        <v>#REF!</v>
      </c>
      <c r="B16" t="e">
        <f>AND(#REF!,"AAAAAHc+7wE=")</f>
        <v>#REF!</v>
      </c>
      <c r="C16" t="e">
        <f>AND(#REF!,"AAAAAHc+7wI=")</f>
        <v>#REF!</v>
      </c>
      <c r="D16" t="e">
        <f>AND(#REF!,"AAAAAHc+7wM=")</f>
        <v>#REF!</v>
      </c>
      <c r="E16" t="e">
        <f>AND(#REF!,"AAAAAHc+7wQ=")</f>
        <v>#REF!</v>
      </c>
      <c r="F16" t="e">
        <f>AND(#REF!,"AAAAAHc+7wU=")</f>
        <v>#REF!</v>
      </c>
      <c r="G16" t="e">
        <f>AND(#REF!,"AAAAAHc+7wY=")</f>
        <v>#REF!</v>
      </c>
      <c r="H16" t="e">
        <f>AND(#REF!,"AAAAAHc+7wc=")</f>
        <v>#REF!</v>
      </c>
      <c r="I16" t="e">
        <f>AND(#REF!,"AAAAAHc+7wg=")</f>
        <v>#REF!</v>
      </c>
      <c r="J16" t="e">
        <f>AND(#REF!,"AAAAAHc+7wk=")</f>
        <v>#REF!</v>
      </c>
      <c r="K16" t="e">
        <f>AND(#REF!,"AAAAAHc+7wo=")</f>
        <v>#REF!</v>
      </c>
      <c r="L16" t="e">
        <f>IF(#REF!,"AAAAAHc+7ws=",0)</f>
        <v>#REF!</v>
      </c>
      <c r="M16" t="e">
        <f>AND(#REF!,"AAAAAHc+7ww=")</f>
        <v>#REF!</v>
      </c>
      <c r="N16" t="e">
        <f>AND(#REF!,"AAAAAHc+7w0=")</f>
        <v>#REF!</v>
      </c>
      <c r="O16" t="e">
        <f>AND(#REF!,"AAAAAHc+7w4=")</f>
        <v>#REF!</v>
      </c>
      <c r="P16" t="e">
        <f>AND(#REF!,"AAAAAHc+7w8=")</f>
        <v>#REF!</v>
      </c>
      <c r="Q16" t="e">
        <f>AND(#REF!,"AAAAAHc+7xA=")</f>
        <v>#REF!</v>
      </c>
      <c r="R16" t="e">
        <f>AND(#REF!,"AAAAAHc+7xE=")</f>
        <v>#REF!</v>
      </c>
      <c r="S16" t="e">
        <f>AND(#REF!,"AAAAAHc+7xI=")</f>
        <v>#REF!</v>
      </c>
      <c r="T16" t="e">
        <f>AND(#REF!,"AAAAAHc+7xM=")</f>
        <v>#REF!</v>
      </c>
      <c r="U16" t="e">
        <f>AND(#REF!,"AAAAAHc+7xQ=")</f>
        <v>#REF!</v>
      </c>
      <c r="V16" t="e">
        <f>AND(#REF!,"AAAAAHc+7xU=")</f>
        <v>#REF!</v>
      </c>
      <c r="W16" t="e">
        <f>AND(#REF!,"AAAAAHc+7xY=")</f>
        <v>#REF!</v>
      </c>
      <c r="X16" t="e">
        <f>AND(#REF!,"AAAAAHc+7xc=")</f>
        <v>#REF!</v>
      </c>
      <c r="Y16" t="e">
        <f>IF(#REF!,"AAAAAHc+7xg=",0)</f>
        <v>#REF!</v>
      </c>
      <c r="Z16" t="e">
        <f>AND(#REF!,"AAAAAHc+7xk=")</f>
        <v>#REF!</v>
      </c>
      <c r="AA16" t="e">
        <f>AND(#REF!,"AAAAAHc+7xo=")</f>
        <v>#REF!</v>
      </c>
      <c r="AB16" t="e">
        <f>AND(#REF!,"AAAAAHc+7xs=")</f>
        <v>#REF!</v>
      </c>
      <c r="AC16" t="e">
        <f>AND(#REF!,"AAAAAHc+7xw=")</f>
        <v>#REF!</v>
      </c>
      <c r="AD16" t="e">
        <f>AND(#REF!,"AAAAAHc+7x0=")</f>
        <v>#REF!</v>
      </c>
      <c r="AE16" t="e">
        <f>AND(#REF!,"AAAAAHc+7x4=")</f>
        <v>#REF!</v>
      </c>
      <c r="AF16" t="e">
        <f>AND(#REF!,"AAAAAHc+7x8=")</f>
        <v>#REF!</v>
      </c>
      <c r="AG16" t="e">
        <f>AND(#REF!,"AAAAAHc+7yA=")</f>
        <v>#REF!</v>
      </c>
      <c r="AH16" t="e">
        <f>AND(#REF!,"AAAAAHc+7yE=")</f>
        <v>#REF!</v>
      </c>
      <c r="AI16" t="e">
        <f>AND(#REF!,"AAAAAHc+7yI=")</f>
        <v>#REF!</v>
      </c>
      <c r="AJ16" t="e">
        <f>AND(#REF!,"AAAAAHc+7yM=")</f>
        <v>#REF!</v>
      </c>
      <c r="AK16" t="e">
        <f>AND(#REF!,"AAAAAHc+7yQ=")</f>
        <v>#REF!</v>
      </c>
      <c r="AL16" t="e">
        <f>IF(#REF!,"AAAAAHc+7yU=",0)</f>
        <v>#REF!</v>
      </c>
      <c r="AM16" t="e">
        <f>AND(#REF!,"AAAAAHc+7yY=")</f>
        <v>#REF!</v>
      </c>
      <c r="AN16" t="e">
        <f>AND(#REF!,"AAAAAHc+7yc=")</f>
        <v>#REF!</v>
      </c>
      <c r="AO16" t="e">
        <f>AND(#REF!,"AAAAAHc+7yg=")</f>
        <v>#REF!</v>
      </c>
      <c r="AP16" t="e">
        <f>AND(#REF!,"AAAAAHc+7yk=")</f>
        <v>#REF!</v>
      </c>
      <c r="AQ16" t="e">
        <f>AND(#REF!,"AAAAAHc+7yo=")</f>
        <v>#REF!</v>
      </c>
      <c r="AR16" t="e">
        <f>AND(#REF!,"AAAAAHc+7ys=")</f>
        <v>#REF!</v>
      </c>
      <c r="AS16" t="e">
        <f>AND(#REF!,"AAAAAHc+7yw=")</f>
        <v>#REF!</v>
      </c>
      <c r="AT16" t="e">
        <f>AND(#REF!,"AAAAAHc+7y0=")</f>
        <v>#REF!</v>
      </c>
      <c r="AU16" t="e">
        <f>AND(#REF!,"AAAAAHc+7y4=")</f>
        <v>#REF!</v>
      </c>
      <c r="AV16" t="e">
        <f>AND(#REF!,"AAAAAHc+7y8=")</f>
        <v>#REF!</v>
      </c>
      <c r="AW16" t="e">
        <f>AND(#REF!,"AAAAAHc+7zA=")</f>
        <v>#REF!</v>
      </c>
      <c r="AX16" t="e">
        <f>AND(#REF!,"AAAAAHc+7zE=")</f>
        <v>#REF!</v>
      </c>
      <c r="AY16" t="e">
        <f>IF(#REF!,"AAAAAHc+7zI=",0)</f>
        <v>#REF!</v>
      </c>
      <c r="AZ16" t="e">
        <f>AND(#REF!,"AAAAAHc+7zM=")</f>
        <v>#REF!</v>
      </c>
      <c r="BA16" t="e">
        <f>AND(#REF!,"AAAAAHc+7zQ=")</f>
        <v>#REF!</v>
      </c>
      <c r="BB16" t="e">
        <f>AND(#REF!,"AAAAAHc+7zU=")</f>
        <v>#REF!</v>
      </c>
      <c r="BC16" t="e">
        <f>AND(#REF!,"AAAAAHc+7zY=")</f>
        <v>#REF!</v>
      </c>
      <c r="BD16" t="e">
        <f>AND(#REF!,"AAAAAHc+7zc=")</f>
        <v>#REF!</v>
      </c>
      <c r="BE16" t="e">
        <f>AND(#REF!,"AAAAAHc+7zg=")</f>
        <v>#REF!</v>
      </c>
      <c r="BF16" t="e">
        <f>AND(#REF!,"AAAAAHc+7zk=")</f>
        <v>#REF!</v>
      </c>
      <c r="BG16" t="e">
        <f>AND(#REF!,"AAAAAHc+7zo=")</f>
        <v>#REF!</v>
      </c>
      <c r="BH16" t="e">
        <f>AND(#REF!,"AAAAAHc+7zs=")</f>
        <v>#REF!</v>
      </c>
      <c r="BI16" t="e">
        <f>AND(#REF!,"AAAAAHc+7zw=")</f>
        <v>#REF!</v>
      </c>
      <c r="BJ16" t="e">
        <f>AND(#REF!,"AAAAAHc+7z0=")</f>
        <v>#REF!</v>
      </c>
      <c r="BK16" t="e">
        <f>AND(#REF!,"AAAAAHc+7z4=")</f>
        <v>#REF!</v>
      </c>
      <c r="BL16" t="e">
        <f>IF(#REF!,"AAAAAHc+7z8=",0)</f>
        <v>#REF!</v>
      </c>
      <c r="BM16" t="e">
        <f>AND(#REF!,"AAAAAHc+70A=")</f>
        <v>#REF!</v>
      </c>
      <c r="BN16" t="e">
        <f>AND(#REF!,"AAAAAHc+70E=")</f>
        <v>#REF!</v>
      </c>
      <c r="BO16" t="e">
        <f>AND(#REF!,"AAAAAHc+70I=")</f>
        <v>#REF!</v>
      </c>
      <c r="BP16" t="e">
        <f>AND(#REF!,"AAAAAHc+70M=")</f>
        <v>#REF!</v>
      </c>
      <c r="BQ16" t="e">
        <f>AND(#REF!,"AAAAAHc+70Q=")</f>
        <v>#REF!</v>
      </c>
      <c r="BR16" t="e">
        <f>AND(#REF!,"AAAAAHc+70U=")</f>
        <v>#REF!</v>
      </c>
      <c r="BS16" t="e">
        <f>AND(#REF!,"AAAAAHc+70Y=")</f>
        <v>#REF!</v>
      </c>
      <c r="BT16" t="e">
        <f>AND(#REF!,"AAAAAHc+70c=")</f>
        <v>#REF!</v>
      </c>
      <c r="BU16" t="e">
        <f>AND(#REF!,"AAAAAHc+70g=")</f>
        <v>#REF!</v>
      </c>
      <c r="BV16" t="e">
        <f>AND(#REF!,"AAAAAHc+70k=")</f>
        <v>#REF!</v>
      </c>
      <c r="BW16" t="e">
        <f>AND(#REF!,"AAAAAHc+70o=")</f>
        <v>#REF!</v>
      </c>
      <c r="BX16" t="e">
        <f>AND(#REF!,"AAAAAHc+70s=")</f>
        <v>#REF!</v>
      </c>
      <c r="BY16" t="e">
        <f>IF(#REF!,"AAAAAHc+70w=",0)</f>
        <v>#REF!</v>
      </c>
      <c r="BZ16" t="e">
        <f>AND(#REF!,"AAAAAHc+700=")</f>
        <v>#REF!</v>
      </c>
      <c r="CA16" t="e">
        <f>AND(#REF!,"AAAAAHc+704=")</f>
        <v>#REF!</v>
      </c>
      <c r="CB16" t="e">
        <f>AND(#REF!,"AAAAAHc+708=")</f>
        <v>#REF!</v>
      </c>
      <c r="CC16" t="e">
        <f>AND(#REF!,"AAAAAHc+71A=")</f>
        <v>#REF!</v>
      </c>
      <c r="CD16" t="e">
        <f>AND(#REF!,"AAAAAHc+71E=")</f>
        <v>#REF!</v>
      </c>
      <c r="CE16" t="e">
        <f>AND(#REF!,"AAAAAHc+71I=")</f>
        <v>#REF!</v>
      </c>
      <c r="CF16" t="e">
        <f>AND(#REF!,"AAAAAHc+71M=")</f>
        <v>#REF!</v>
      </c>
      <c r="CG16" t="e">
        <f>AND(#REF!,"AAAAAHc+71Q=")</f>
        <v>#REF!</v>
      </c>
      <c r="CH16" t="e">
        <f>AND(#REF!,"AAAAAHc+71U=")</f>
        <v>#REF!</v>
      </c>
      <c r="CI16" t="e">
        <f>AND(#REF!,"AAAAAHc+71Y=")</f>
        <v>#REF!</v>
      </c>
      <c r="CJ16" t="e">
        <f>AND(#REF!,"AAAAAHc+71c=")</f>
        <v>#REF!</v>
      </c>
      <c r="CK16" t="e">
        <f>AND(#REF!,"AAAAAHc+71g=")</f>
        <v>#REF!</v>
      </c>
      <c r="CL16" t="e">
        <f>IF(#REF!,"AAAAAHc+71k=",0)</f>
        <v>#REF!</v>
      </c>
      <c r="CM16" t="e">
        <f>AND(#REF!,"AAAAAHc+71o=")</f>
        <v>#REF!</v>
      </c>
      <c r="CN16" t="e">
        <f>AND(#REF!,"AAAAAHc+71s=")</f>
        <v>#REF!</v>
      </c>
      <c r="CO16" t="e">
        <f>AND(#REF!,"AAAAAHc+71w=")</f>
        <v>#REF!</v>
      </c>
      <c r="CP16" t="e">
        <f>AND(#REF!,"AAAAAHc+710=")</f>
        <v>#REF!</v>
      </c>
      <c r="CQ16" t="e">
        <f>AND(#REF!,"AAAAAHc+714=")</f>
        <v>#REF!</v>
      </c>
      <c r="CR16" t="e">
        <f>AND(#REF!,"AAAAAHc+718=")</f>
        <v>#REF!</v>
      </c>
      <c r="CS16" t="e">
        <f>AND(#REF!,"AAAAAHc+72A=")</f>
        <v>#REF!</v>
      </c>
      <c r="CT16" t="e">
        <f>AND(#REF!,"AAAAAHc+72E=")</f>
        <v>#REF!</v>
      </c>
      <c r="CU16" t="e">
        <f>AND(#REF!,"AAAAAHc+72I=")</f>
        <v>#REF!</v>
      </c>
      <c r="CV16" t="e">
        <f>AND(#REF!,"AAAAAHc+72M=")</f>
        <v>#REF!</v>
      </c>
      <c r="CW16" t="e">
        <f>AND(#REF!,"AAAAAHc+72Q=")</f>
        <v>#REF!</v>
      </c>
      <c r="CX16" t="e">
        <f>AND(#REF!,"AAAAAHc+72U=")</f>
        <v>#REF!</v>
      </c>
      <c r="CY16" t="e">
        <f>IF(#REF!,"AAAAAHc+72Y=",0)</f>
        <v>#REF!</v>
      </c>
      <c r="CZ16" t="e">
        <f>AND(#REF!,"AAAAAHc+72c=")</f>
        <v>#REF!</v>
      </c>
      <c r="DA16" t="e">
        <f>AND(#REF!,"AAAAAHc+72g=")</f>
        <v>#REF!</v>
      </c>
      <c r="DB16" t="e">
        <f>AND(#REF!,"AAAAAHc+72k=")</f>
        <v>#REF!</v>
      </c>
      <c r="DC16" t="e">
        <f>AND(#REF!,"AAAAAHc+72o=")</f>
        <v>#REF!</v>
      </c>
      <c r="DD16" t="e">
        <f>AND(#REF!,"AAAAAHc+72s=")</f>
        <v>#REF!</v>
      </c>
      <c r="DE16" t="e">
        <f>AND(#REF!,"AAAAAHc+72w=")</f>
        <v>#REF!</v>
      </c>
      <c r="DF16" t="e">
        <f>AND(#REF!,"AAAAAHc+720=")</f>
        <v>#REF!</v>
      </c>
      <c r="DG16" t="e">
        <f>AND(#REF!,"AAAAAHc+724=")</f>
        <v>#REF!</v>
      </c>
      <c r="DH16" t="e">
        <f>AND(#REF!,"AAAAAHc+728=")</f>
        <v>#REF!</v>
      </c>
      <c r="DI16" t="e">
        <f>AND(#REF!,"AAAAAHc+73A=")</f>
        <v>#REF!</v>
      </c>
      <c r="DJ16" t="e">
        <f>AND(#REF!,"AAAAAHc+73E=")</f>
        <v>#REF!</v>
      </c>
      <c r="DK16" t="e">
        <f>AND(#REF!,"AAAAAHc+73I=")</f>
        <v>#REF!</v>
      </c>
      <c r="DL16" t="e">
        <f>IF(#REF!,"AAAAAHc+73M=",0)</f>
        <v>#REF!</v>
      </c>
      <c r="DM16" t="e">
        <f>AND(#REF!,"AAAAAHc+73Q=")</f>
        <v>#REF!</v>
      </c>
      <c r="DN16" t="e">
        <f>AND(#REF!,"AAAAAHc+73U=")</f>
        <v>#REF!</v>
      </c>
      <c r="DO16" t="e">
        <f>AND(#REF!,"AAAAAHc+73Y=")</f>
        <v>#REF!</v>
      </c>
      <c r="DP16" t="e">
        <f>AND(#REF!,"AAAAAHc+73c=")</f>
        <v>#REF!</v>
      </c>
      <c r="DQ16" t="e">
        <f>AND(#REF!,"AAAAAHc+73g=")</f>
        <v>#REF!</v>
      </c>
      <c r="DR16" t="e">
        <f>AND(#REF!,"AAAAAHc+73k=")</f>
        <v>#REF!</v>
      </c>
      <c r="DS16" t="e">
        <f>AND(#REF!,"AAAAAHc+73o=")</f>
        <v>#REF!</v>
      </c>
      <c r="DT16" t="e">
        <f>AND(#REF!,"AAAAAHc+73s=")</f>
        <v>#REF!</v>
      </c>
      <c r="DU16" t="e">
        <f>AND(#REF!,"AAAAAHc+73w=")</f>
        <v>#REF!</v>
      </c>
      <c r="DV16" t="e">
        <f>AND(#REF!,"AAAAAHc+730=")</f>
        <v>#REF!</v>
      </c>
      <c r="DW16" t="e">
        <f>AND(#REF!,"AAAAAHc+734=")</f>
        <v>#REF!</v>
      </c>
      <c r="DX16" t="e">
        <f>AND(#REF!,"AAAAAHc+738=")</f>
        <v>#REF!</v>
      </c>
      <c r="DY16" t="e">
        <f>IF(#REF!,"AAAAAHc+74A=",0)</f>
        <v>#REF!</v>
      </c>
      <c r="DZ16" t="e">
        <f>AND(#REF!,"AAAAAHc+74E=")</f>
        <v>#REF!</v>
      </c>
      <c r="EA16" t="e">
        <f>AND(#REF!,"AAAAAHc+74I=")</f>
        <v>#REF!</v>
      </c>
      <c r="EB16" t="e">
        <f>AND(#REF!,"AAAAAHc+74M=")</f>
        <v>#REF!</v>
      </c>
      <c r="EC16" t="e">
        <f>AND(#REF!,"AAAAAHc+74Q=")</f>
        <v>#REF!</v>
      </c>
      <c r="ED16" t="e">
        <f>AND(#REF!,"AAAAAHc+74U=")</f>
        <v>#REF!</v>
      </c>
      <c r="EE16" t="e">
        <f>AND(#REF!,"AAAAAHc+74Y=")</f>
        <v>#REF!</v>
      </c>
      <c r="EF16" t="e">
        <f>AND(#REF!,"AAAAAHc+74c=")</f>
        <v>#REF!</v>
      </c>
      <c r="EG16" t="e">
        <f>AND(#REF!,"AAAAAHc+74g=")</f>
        <v>#REF!</v>
      </c>
      <c r="EH16" t="e">
        <f>AND(#REF!,"AAAAAHc+74k=")</f>
        <v>#REF!</v>
      </c>
      <c r="EI16" t="e">
        <f>AND(#REF!,"AAAAAHc+74o=")</f>
        <v>#REF!</v>
      </c>
      <c r="EJ16" t="e">
        <f>AND(#REF!,"AAAAAHc+74s=")</f>
        <v>#REF!</v>
      </c>
      <c r="EK16" t="e">
        <f>AND(#REF!,"AAAAAHc+74w=")</f>
        <v>#REF!</v>
      </c>
      <c r="EL16" t="e">
        <f>IF(#REF!,"AAAAAHc+740=",0)</f>
        <v>#REF!</v>
      </c>
      <c r="EM16" t="e">
        <f>AND(#REF!,"AAAAAHc+744=")</f>
        <v>#REF!</v>
      </c>
      <c r="EN16" t="e">
        <f>AND(#REF!,"AAAAAHc+748=")</f>
        <v>#REF!</v>
      </c>
      <c r="EO16" t="e">
        <f>AND(#REF!,"AAAAAHc+75A=")</f>
        <v>#REF!</v>
      </c>
      <c r="EP16" t="e">
        <f>AND(#REF!,"AAAAAHc+75E=")</f>
        <v>#REF!</v>
      </c>
      <c r="EQ16" t="e">
        <f>AND(#REF!,"AAAAAHc+75I=")</f>
        <v>#REF!</v>
      </c>
      <c r="ER16" t="e">
        <f>AND(#REF!,"AAAAAHc+75M=")</f>
        <v>#REF!</v>
      </c>
      <c r="ES16" t="e">
        <f>AND(#REF!,"AAAAAHc+75Q=")</f>
        <v>#REF!</v>
      </c>
      <c r="ET16" t="e">
        <f>AND(#REF!,"AAAAAHc+75U=")</f>
        <v>#REF!</v>
      </c>
      <c r="EU16" t="e">
        <f>AND(#REF!,"AAAAAHc+75Y=")</f>
        <v>#REF!</v>
      </c>
      <c r="EV16" t="e">
        <f>AND(#REF!,"AAAAAHc+75c=")</f>
        <v>#REF!</v>
      </c>
      <c r="EW16" t="e">
        <f>AND(#REF!,"AAAAAHc+75g=")</f>
        <v>#REF!</v>
      </c>
      <c r="EX16" t="e">
        <f>AND(#REF!,"AAAAAHc+75k=")</f>
        <v>#REF!</v>
      </c>
      <c r="EY16" t="e">
        <f>IF(#REF!,"AAAAAHc+75o=",0)</f>
        <v>#REF!</v>
      </c>
      <c r="EZ16" t="e">
        <f>AND(#REF!,"AAAAAHc+75s=")</f>
        <v>#REF!</v>
      </c>
      <c r="FA16" t="e">
        <f>AND(#REF!,"AAAAAHc+75w=")</f>
        <v>#REF!</v>
      </c>
      <c r="FB16" t="e">
        <f>AND(#REF!,"AAAAAHc+750=")</f>
        <v>#REF!</v>
      </c>
      <c r="FC16" t="e">
        <f>AND(#REF!,"AAAAAHc+754=")</f>
        <v>#REF!</v>
      </c>
      <c r="FD16" t="e">
        <f>AND(#REF!,"AAAAAHc+758=")</f>
        <v>#REF!</v>
      </c>
      <c r="FE16" t="e">
        <f>AND(#REF!,"AAAAAHc+76A=")</f>
        <v>#REF!</v>
      </c>
      <c r="FF16" t="e">
        <f>AND(#REF!,"AAAAAHc+76E=")</f>
        <v>#REF!</v>
      </c>
      <c r="FG16" t="e">
        <f>AND(#REF!,"AAAAAHc+76I=")</f>
        <v>#REF!</v>
      </c>
      <c r="FH16" t="e">
        <f>AND(#REF!,"AAAAAHc+76M=")</f>
        <v>#REF!</v>
      </c>
      <c r="FI16" t="e">
        <f>AND(#REF!,"AAAAAHc+76Q=")</f>
        <v>#REF!</v>
      </c>
      <c r="FJ16" t="e">
        <f>AND(#REF!,"AAAAAHc+76U=")</f>
        <v>#REF!</v>
      </c>
      <c r="FK16" t="e">
        <f>AND(#REF!,"AAAAAHc+76Y=")</f>
        <v>#REF!</v>
      </c>
      <c r="FL16" t="e">
        <f>IF(#REF!,"AAAAAHc+76c=",0)</f>
        <v>#REF!</v>
      </c>
      <c r="FM16" t="e">
        <f>AND(#REF!,"AAAAAHc+76g=")</f>
        <v>#REF!</v>
      </c>
      <c r="FN16" t="e">
        <f>AND(#REF!,"AAAAAHc+76k=")</f>
        <v>#REF!</v>
      </c>
      <c r="FO16" t="e">
        <f>AND(#REF!,"AAAAAHc+76o=")</f>
        <v>#REF!</v>
      </c>
      <c r="FP16" t="e">
        <f>AND(#REF!,"AAAAAHc+76s=")</f>
        <v>#REF!</v>
      </c>
      <c r="FQ16" t="e">
        <f>AND(#REF!,"AAAAAHc+76w=")</f>
        <v>#REF!</v>
      </c>
      <c r="FR16" t="e">
        <f>AND(#REF!,"AAAAAHc+760=")</f>
        <v>#REF!</v>
      </c>
      <c r="FS16" t="e">
        <f>AND(#REF!,"AAAAAHc+764=")</f>
        <v>#REF!</v>
      </c>
      <c r="FT16" t="e">
        <f>AND(#REF!,"AAAAAHc+768=")</f>
        <v>#REF!</v>
      </c>
      <c r="FU16" t="e">
        <f>AND(#REF!,"AAAAAHc+77A=")</f>
        <v>#REF!</v>
      </c>
      <c r="FV16" t="e">
        <f>AND(#REF!,"AAAAAHc+77E=")</f>
        <v>#REF!</v>
      </c>
      <c r="FW16" t="e">
        <f>AND(#REF!,"AAAAAHc+77I=")</f>
        <v>#REF!</v>
      </c>
      <c r="FX16" t="e">
        <f>AND(#REF!,"AAAAAHc+77M=")</f>
        <v>#REF!</v>
      </c>
      <c r="FY16" t="e">
        <f>IF(#REF!,"AAAAAHc+77Q=",0)</f>
        <v>#REF!</v>
      </c>
      <c r="FZ16" t="e">
        <f>AND(#REF!,"AAAAAHc+77U=")</f>
        <v>#REF!</v>
      </c>
      <c r="GA16" t="e">
        <f>AND(#REF!,"AAAAAHc+77Y=")</f>
        <v>#REF!</v>
      </c>
      <c r="GB16" t="e">
        <f>AND(#REF!,"AAAAAHc+77c=")</f>
        <v>#REF!</v>
      </c>
      <c r="GC16" t="e">
        <f>AND(#REF!,"AAAAAHc+77g=")</f>
        <v>#REF!</v>
      </c>
      <c r="GD16" t="e">
        <f>AND(#REF!,"AAAAAHc+77k=")</f>
        <v>#REF!</v>
      </c>
      <c r="GE16" t="e">
        <f>AND(#REF!,"AAAAAHc+77o=")</f>
        <v>#REF!</v>
      </c>
      <c r="GF16" t="e">
        <f>AND(#REF!,"AAAAAHc+77s=")</f>
        <v>#REF!</v>
      </c>
      <c r="GG16" t="e">
        <f>AND(#REF!,"AAAAAHc+77w=")</f>
        <v>#REF!</v>
      </c>
      <c r="GH16" t="e">
        <f>AND(#REF!,"AAAAAHc+770=")</f>
        <v>#REF!</v>
      </c>
      <c r="GI16" t="e">
        <f>AND(#REF!,"AAAAAHc+774=")</f>
        <v>#REF!</v>
      </c>
      <c r="GJ16" t="e">
        <f>AND(#REF!,"AAAAAHc+778=")</f>
        <v>#REF!</v>
      </c>
      <c r="GK16" t="e">
        <f>AND(#REF!,"AAAAAHc+78A=")</f>
        <v>#REF!</v>
      </c>
      <c r="GL16" t="e">
        <f>IF(#REF!,"AAAAAHc+78E=",0)</f>
        <v>#REF!</v>
      </c>
      <c r="GM16" t="e">
        <f>AND(#REF!,"AAAAAHc+78I=")</f>
        <v>#REF!</v>
      </c>
      <c r="GN16" t="e">
        <f>AND(#REF!,"AAAAAHc+78M=")</f>
        <v>#REF!</v>
      </c>
      <c r="GO16" t="e">
        <f>AND(#REF!,"AAAAAHc+78Q=")</f>
        <v>#REF!</v>
      </c>
      <c r="GP16" t="e">
        <f>AND(#REF!,"AAAAAHc+78U=")</f>
        <v>#REF!</v>
      </c>
      <c r="GQ16" t="e">
        <f>AND(#REF!,"AAAAAHc+78Y=")</f>
        <v>#REF!</v>
      </c>
      <c r="GR16" t="e">
        <f>AND(#REF!,"AAAAAHc+78c=")</f>
        <v>#REF!</v>
      </c>
      <c r="GS16" t="e">
        <f>AND(#REF!,"AAAAAHc+78g=")</f>
        <v>#REF!</v>
      </c>
      <c r="GT16" t="e">
        <f>AND(#REF!,"AAAAAHc+78k=")</f>
        <v>#REF!</v>
      </c>
      <c r="GU16" t="e">
        <f>AND(#REF!,"AAAAAHc+78o=")</f>
        <v>#REF!</v>
      </c>
      <c r="GV16" t="e">
        <f>AND(#REF!,"AAAAAHc+78s=")</f>
        <v>#REF!</v>
      </c>
      <c r="GW16" t="e">
        <f>AND(#REF!,"AAAAAHc+78w=")</f>
        <v>#REF!</v>
      </c>
      <c r="GX16" t="e">
        <f>AND(#REF!,"AAAAAHc+780=")</f>
        <v>#REF!</v>
      </c>
      <c r="GY16" t="e">
        <f>IF(#REF!,"AAAAAHc+784=",0)</f>
        <v>#REF!</v>
      </c>
      <c r="GZ16" t="e">
        <f>AND(#REF!,"AAAAAHc+788=")</f>
        <v>#REF!</v>
      </c>
      <c r="HA16" t="e">
        <f>AND(#REF!,"AAAAAHc+79A=")</f>
        <v>#REF!</v>
      </c>
      <c r="HB16" t="e">
        <f>AND(#REF!,"AAAAAHc+79E=")</f>
        <v>#REF!</v>
      </c>
      <c r="HC16" t="e">
        <f>AND(#REF!,"AAAAAHc+79I=")</f>
        <v>#REF!</v>
      </c>
      <c r="HD16" t="e">
        <f>AND(#REF!,"AAAAAHc+79M=")</f>
        <v>#REF!</v>
      </c>
      <c r="HE16" t="e">
        <f>AND(#REF!,"AAAAAHc+79Q=")</f>
        <v>#REF!</v>
      </c>
      <c r="HF16" t="e">
        <f>AND(#REF!,"AAAAAHc+79U=")</f>
        <v>#REF!</v>
      </c>
      <c r="HG16" t="e">
        <f>AND(#REF!,"AAAAAHc+79Y=")</f>
        <v>#REF!</v>
      </c>
      <c r="HH16" t="e">
        <f>AND(#REF!,"AAAAAHc+79c=")</f>
        <v>#REF!</v>
      </c>
      <c r="HI16" t="e">
        <f>AND(#REF!,"AAAAAHc+79g=")</f>
        <v>#REF!</v>
      </c>
      <c r="HJ16" t="e">
        <f>AND(#REF!,"AAAAAHc+79k=")</f>
        <v>#REF!</v>
      </c>
      <c r="HK16" t="e">
        <f>AND(#REF!,"AAAAAHc+79o=")</f>
        <v>#REF!</v>
      </c>
      <c r="HL16" t="e">
        <f>IF(#REF!,"AAAAAHc+79s=",0)</f>
        <v>#REF!</v>
      </c>
      <c r="HM16" t="e">
        <f>AND(#REF!,"AAAAAHc+79w=")</f>
        <v>#REF!</v>
      </c>
      <c r="HN16" t="e">
        <f>AND(#REF!,"AAAAAHc+790=")</f>
        <v>#REF!</v>
      </c>
      <c r="HO16" t="e">
        <f>AND(#REF!,"AAAAAHc+794=")</f>
        <v>#REF!</v>
      </c>
      <c r="HP16" t="e">
        <f>AND(#REF!,"AAAAAHc+798=")</f>
        <v>#REF!</v>
      </c>
      <c r="HQ16" t="e">
        <f>AND(#REF!,"AAAAAHc+7+A=")</f>
        <v>#REF!</v>
      </c>
      <c r="HR16" t="e">
        <f>AND(#REF!,"AAAAAHc+7+E=")</f>
        <v>#REF!</v>
      </c>
      <c r="HS16" t="e">
        <f>AND(#REF!,"AAAAAHc+7+I=")</f>
        <v>#REF!</v>
      </c>
      <c r="HT16" t="e">
        <f>AND(#REF!,"AAAAAHc+7+M=")</f>
        <v>#REF!</v>
      </c>
      <c r="HU16" t="e">
        <f>AND(#REF!,"AAAAAHc+7+Q=")</f>
        <v>#REF!</v>
      </c>
      <c r="HV16" t="e">
        <f>AND(#REF!,"AAAAAHc+7+U=")</f>
        <v>#REF!</v>
      </c>
      <c r="HW16" t="e">
        <f>AND(#REF!,"AAAAAHc+7+Y=")</f>
        <v>#REF!</v>
      </c>
      <c r="HX16" t="e">
        <f>AND(#REF!,"AAAAAHc+7+c=")</f>
        <v>#REF!</v>
      </c>
      <c r="HY16" t="e">
        <f>IF(#REF!,"AAAAAHc+7+g=",0)</f>
        <v>#REF!</v>
      </c>
      <c r="HZ16" t="e">
        <f>AND(#REF!,"AAAAAHc+7+k=")</f>
        <v>#REF!</v>
      </c>
      <c r="IA16" t="e">
        <f>AND(#REF!,"AAAAAHc+7+o=")</f>
        <v>#REF!</v>
      </c>
      <c r="IB16" t="e">
        <f>AND(#REF!,"AAAAAHc+7+s=")</f>
        <v>#REF!</v>
      </c>
      <c r="IC16" t="e">
        <f>AND(#REF!,"AAAAAHc+7+w=")</f>
        <v>#REF!</v>
      </c>
      <c r="ID16" t="e">
        <f>AND(#REF!,"AAAAAHc+7+0=")</f>
        <v>#REF!</v>
      </c>
      <c r="IE16" t="e">
        <f>AND(#REF!,"AAAAAHc+7+4=")</f>
        <v>#REF!</v>
      </c>
      <c r="IF16" t="e">
        <f>AND(#REF!,"AAAAAHc+7+8=")</f>
        <v>#REF!</v>
      </c>
      <c r="IG16" t="e">
        <f>AND(#REF!,"AAAAAHc+7/A=")</f>
        <v>#REF!</v>
      </c>
      <c r="IH16" t="e">
        <f>AND(#REF!,"AAAAAHc+7/E=")</f>
        <v>#REF!</v>
      </c>
      <c r="II16" t="e">
        <f>AND(#REF!,"AAAAAHc+7/I=")</f>
        <v>#REF!</v>
      </c>
      <c r="IJ16" t="e">
        <f>AND(#REF!,"AAAAAHc+7/M=")</f>
        <v>#REF!</v>
      </c>
      <c r="IK16" t="e">
        <f>AND(#REF!,"AAAAAHc+7/Q=")</f>
        <v>#REF!</v>
      </c>
      <c r="IL16" t="e">
        <f>IF(#REF!,"AAAAAHc+7/U=",0)</f>
        <v>#REF!</v>
      </c>
      <c r="IM16" t="e">
        <f>AND(#REF!,"AAAAAHc+7/Y=")</f>
        <v>#REF!</v>
      </c>
      <c r="IN16" t="e">
        <f>AND(#REF!,"AAAAAHc+7/c=")</f>
        <v>#REF!</v>
      </c>
      <c r="IO16" t="e">
        <f>AND(#REF!,"AAAAAHc+7/g=")</f>
        <v>#REF!</v>
      </c>
      <c r="IP16" t="e">
        <f>AND(#REF!,"AAAAAHc+7/k=")</f>
        <v>#REF!</v>
      </c>
      <c r="IQ16" t="e">
        <f>AND(#REF!,"AAAAAHc+7/o=")</f>
        <v>#REF!</v>
      </c>
      <c r="IR16" t="e">
        <f>AND(#REF!,"AAAAAHc+7/s=")</f>
        <v>#REF!</v>
      </c>
      <c r="IS16" t="e">
        <f>AND(#REF!,"AAAAAHc+7/w=")</f>
        <v>#REF!</v>
      </c>
      <c r="IT16" t="e">
        <f>AND(#REF!,"AAAAAHc+7/0=")</f>
        <v>#REF!</v>
      </c>
      <c r="IU16" t="e">
        <f>AND(#REF!,"AAAAAHc+7/4=")</f>
        <v>#REF!</v>
      </c>
      <c r="IV16" t="e">
        <f>AND(#REF!,"AAAAAHc+7/8=")</f>
        <v>#REF!</v>
      </c>
    </row>
    <row r="17" spans="1:256">
      <c r="A17" t="e">
        <f>AND(#REF!,"AAAAAH/7fQA=")</f>
        <v>#REF!</v>
      </c>
      <c r="B17" t="e">
        <f>AND(#REF!,"AAAAAH/7fQE=")</f>
        <v>#REF!</v>
      </c>
      <c r="C17" t="e">
        <f>IF(#REF!,"AAAAAH/7fQI=",0)</f>
        <v>#REF!</v>
      </c>
      <c r="D17" t="e">
        <f>AND(#REF!,"AAAAAH/7fQM=")</f>
        <v>#REF!</v>
      </c>
      <c r="E17" t="e">
        <f>AND(#REF!,"AAAAAH/7fQQ=")</f>
        <v>#REF!</v>
      </c>
      <c r="F17" t="e">
        <f>AND(#REF!,"AAAAAH/7fQU=")</f>
        <v>#REF!</v>
      </c>
      <c r="G17" t="e">
        <f>AND(#REF!,"AAAAAH/7fQY=")</f>
        <v>#REF!</v>
      </c>
      <c r="H17" t="e">
        <f>AND(#REF!,"AAAAAH/7fQc=")</f>
        <v>#REF!</v>
      </c>
      <c r="I17" t="e">
        <f>AND(#REF!,"AAAAAH/7fQg=")</f>
        <v>#REF!</v>
      </c>
      <c r="J17" t="e">
        <f>AND(#REF!,"AAAAAH/7fQk=")</f>
        <v>#REF!</v>
      </c>
      <c r="K17" t="e">
        <f>AND(#REF!,"AAAAAH/7fQo=")</f>
        <v>#REF!</v>
      </c>
      <c r="L17" t="e">
        <f>AND(#REF!,"AAAAAH/7fQs=")</f>
        <v>#REF!</v>
      </c>
      <c r="M17" t="e">
        <f>AND(#REF!,"AAAAAH/7fQw=")</f>
        <v>#REF!</v>
      </c>
      <c r="N17" t="e">
        <f>AND(#REF!,"AAAAAH/7fQ0=")</f>
        <v>#REF!</v>
      </c>
      <c r="O17" t="e">
        <f>AND(#REF!,"AAAAAH/7fQ4=")</f>
        <v>#REF!</v>
      </c>
      <c r="P17" t="e">
        <f>IF(#REF!,"AAAAAH/7fQ8=",0)</f>
        <v>#REF!</v>
      </c>
      <c r="Q17" t="e">
        <f>AND(#REF!,"AAAAAH/7fRA=")</f>
        <v>#REF!</v>
      </c>
      <c r="R17" t="e">
        <f>AND(#REF!,"AAAAAH/7fRE=")</f>
        <v>#REF!</v>
      </c>
      <c r="S17" t="e">
        <f>AND(#REF!,"AAAAAH/7fRI=")</f>
        <v>#REF!</v>
      </c>
      <c r="T17" t="e">
        <f>AND(#REF!,"AAAAAH/7fRM=")</f>
        <v>#REF!</v>
      </c>
      <c r="U17" t="e">
        <f>AND(#REF!,"AAAAAH/7fRQ=")</f>
        <v>#REF!</v>
      </c>
      <c r="V17" t="e">
        <f>AND(#REF!,"AAAAAH/7fRU=")</f>
        <v>#REF!</v>
      </c>
      <c r="W17" t="e">
        <f>AND(#REF!,"AAAAAH/7fRY=")</f>
        <v>#REF!</v>
      </c>
      <c r="X17" t="e">
        <f>AND(#REF!,"AAAAAH/7fRc=")</f>
        <v>#REF!</v>
      </c>
      <c r="Y17" t="e">
        <f>AND(#REF!,"AAAAAH/7fRg=")</f>
        <v>#REF!</v>
      </c>
      <c r="Z17" t="e">
        <f>AND(#REF!,"AAAAAH/7fRk=")</f>
        <v>#REF!</v>
      </c>
      <c r="AA17" t="e">
        <f>AND(#REF!,"AAAAAH/7fRo=")</f>
        <v>#REF!</v>
      </c>
      <c r="AB17" t="e">
        <f>AND(#REF!,"AAAAAH/7fRs=")</f>
        <v>#REF!</v>
      </c>
      <c r="AC17" t="e">
        <f>IF(#REF!,"AAAAAH/7fRw=",0)</f>
        <v>#REF!</v>
      </c>
      <c r="AD17" t="e">
        <f>AND(#REF!,"AAAAAH/7fR0=")</f>
        <v>#REF!</v>
      </c>
      <c r="AE17" t="e">
        <f>AND(#REF!,"AAAAAH/7fR4=")</f>
        <v>#REF!</v>
      </c>
      <c r="AF17" t="e">
        <f>AND(#REF!,"AAAAAH/7fR8=")</f>
        <v>#REF!</v>
      </c>
      <c r="AG17" t="e">
        <f>AND(#REF!,"AAAAAH/7fSA=")</f>
        <v>#REF!</v>
      </c>
      <c r="AH17" t="e">
        <f>AND(#REF!,"AAAAAH/7fSE=")</f>
        <v>#REF!</v>
      </c>
      <c r="AI17" t="e">
        <f>AND(#REF!,"AAAAAH/7fSI=")</f>
        <v>#REF!</v>
      </c>
      <c r="AJ17" t="e">
        <f>AND(#REF!,"AAAAAH/7fSM=")</f>
        <v>#REF!</v>
      </c>
      <c r="AK17" t="e">
        <f>AND(#REF!,"AAAAAH/7fSQ=")</f>
        <v>#REF!</v>
      </c>
      <c r="AL17" t="e">
        <f>AND(#REF!,"AAAAAH/7fSU=")</f>
        <v>#REF!</v>
      </c>
      <c r="AM17" t="e">
        <f>AND(#REF!,"AAAAAH/7fSY=")</f>
        <v>#REF!</v>
      </c>
      <c r="AN17" t="e">
        <f>AND(#REF!,"AAAAAH/7fSc=")</f>
        <v>#REF!</v>
      </c>
      <c r="AO17" t="e">
        <f>AND(#REF!,"AAAAAH/7fSg=")</f>
        <v>#REF!</v>
      </c>
      <c r="AP17" t="e">
        <f>IF(#REF!,"AAAAAH/7fSk=",0)</f>
        <v>#REF!</v>
      </c>
      <c r="AQ17" t="e">
        <f>AND(#REF!,"AAAAAH/7fSo=")</f>
        <v>#REF!</v>
      </c>
      <c r="AR17" t="e">
        <f>AND(#REF!,"AAAAAH/7fSs=")</f>
        <v>#REF!</v>
      </c>
      <c r="AS17" t="e">
        <f>AND(#REF!,"AAAAAH/7fSw=")</f>
        <v>#REF!</v>
      </c>
      <c r="AT17" t="e">
        <f>AND(#REF!,"AAAAAH/7fS0=")</f>
        <v>#REF!</v>
      </c>
      <c r="AU17" t="e">
        <f>AND(#REF!,"AAAAAH/7fS4=")</f>
        <v>#REF!</v>
      </c>
      <c r="AV17" t="e">
        <f>AND(#REF!,"AAAAAH/7fS8=")</f>
        <v>#REF!</v>
      </c>
      <c r="AW17" t="e">
        <f>AND(#REF!,"AAAAAH/7fTA=")</f>
        <v>#REF!</v>
      </c>
      <c r="AX17" t="e">
        <f>AND(#REF!,"AAAAAH/7fTE=")</f>
        <v>#REF!</v>
      </c>
      <c r="AY17" t="e">
        <f>AND(#REF!,"AAAAAH/7fTI=")</f>
        <v>#REF!</v>
      </c>
      <c r="AZ17" t="e">
        <f>AND(#REF!,"AAAAAH/7fTM=")</f>
        <v>#REF!</v>
      </c>
      <c r="BA17" t="e">
        <f>AND(#REF!,"AAAAAH/7fTQ=")</f>
        <v>#REF!</v>
      </c>
      <c r="BB17" t="e">
        <f>AND(#REF!,"AAAAAH/7fTU=")</f>
        <v>#REF!</v>
      </c>
      <c r="BC17" t="e">
        <f>IF(#REF!,"AAAAAH/7fTY=",0)</f>
        <v>#REF!</v>
      </c>
      <c r="BD17" t="e">
        <f>AND(#REF!,"AAAAAH/7fTc=")</f>
        <v>#REF!</v>
      </c>
      <c r="BE17" t="e">
        <f>AND(#REF!,"AAAAAH/7fTg=")</f>
        <v>#REF!</v>
      </c>
      <c r="BF17" t="e">
        <f>AND(#REF!,"AAAAAH/7fTk=")</f>
        <v>#REF!</v>
      </c>
      <c r="BG17" t="e">
        <f>AND(#REF!,"AAAAAH/7fTo=")</f>
        <v>#REF!</v>
      </c>
      <c r="BH17" t="e">
        <f>AND(#REF!,"AAAAAH/7fTs=")</f>
        <v>#REF!</v>
      </c>
      <c r="BI17" t="e">
        <f>AND(#REF!,"AAAAAH/7fTw=")</f>
        <v>#REF!</v>
      </c>
      <c r="BJ17" t="e">
        <f>AND(#REF!,"AAAAAH/7fT0=")</f>
        <v>#REF!</v>
      </c>
      <c r="BK17" t="e">
        <f>AND(#REF!,"AAAAAH/7fT4=")</f>
        <v>#REF!</v>
      </c>
      <c r="BL17" t="e">
        <f>AND(#REF!,"AAAAAH/7fT8=")</f>
        <v>#REF!</v>
      </c>
      <c r="BM17" t="e">
        <f>AND(#REF!,"AAAAAH/7fUA=")</f>
        <v>#REF!</v>
      </c>
      <c r="BN17" t="e">
        <f>AND(#REF!,"AAAAAH/7fUE=")</f>
        <v>#REF!</v>
      </c>
      <c r="BO17" t="e">
        <f>AND(#REF!,"AAAAAH/7fUI=")</f>
        <v>#REF!</v>
      </c>
      <c r="BP17" t="e">
        <f>IF(#REF!,"AAAAAH/7fUM=",0)</f>
        <v>#REF!</v>
      </c>
      <c r="BQ17" t="e">
        <f>AND(#REF!,"AAAAAH/7fUQ=")</f>
        <v>#REF!</v>
      </c>
      <c r="BR17" t="e">
        <f>AND(#REF!,"AAAAAH/7fUU=")</f>
        <v>#REF!</v>
      </c>
      <c r="BS17" t="e">
        <f>AND(#REF!,"AAAAAH/7fUY=")</f>
        <v>#REF!</v>
      </c>
      <c r="BT17" t="e">
        <f>AND(#REF!,"AAAAAH/7fUc=")</f>
        <v>#REF!</v>
      </c>
      <c r="BU17" t="e">
        <f>AND(#REF!,"AAAAAH/7fUg=")</f>
        <v>#REF!</v>
      </c>
      <c r="BV17" t="e">
        <f>AND(#REF!,"AAAAAH/7fUk=")</f>
        <v>#REF!</v>
      </c>
      <c r="BW17" t="e">
        <f>AND(#REF!,"AAAAAH/7fUo=")</f>
        <v>#REF!</v>
      </c>
      <c r="BX17" t="e">
        <f>AND(#REF!,"AAAAAH/7fUs=")</f>
        <v>#REF!</v>
      </c>
      <c r="BY17" t="e">
        <f>AND(#REF!,"AAAAAH/7fUw=")</f>
        <v>#REF!</v>
      </c>
      <c r="BZ17" t="e">
        <f>AND(#REF!,"AAAAAH/7fU0=")</f>
        <v>#REF!</v>
      </c>
      <c r="CA17" t="e">
        <f>AND(#REF!,"AAAAAH/7fU4=")</f>
        <v>#REF!</v>
      </c>
      <c r="CB17" t="e">
        <f>AND(#REF!,"AAAAAH/7fU8=")</f>
        <v>#REF!</v>
      </c>
      <c r="CC17" t="e">
        <f>IF(#REF!,"AAAAAH/7fVA=",0)</f>
        <v>#REF!</v>
      </c>
      <c r="CD17" t="e">
        <f>AND(#REF!,"AAAAAH/7fVE=")</f>
        <v>#REF!</v>
      </c>
      <c r="CE17" t="e">
        <f>AND(#REF!,"AAAAAH/7fVI=")</f>
        <v>#REF!</v>
      </c>
      <c r="CF17" t="e">
        <f>AND(#REF!,"AAAAAH/7fVM=")</f>
        <v>#REF!</v>
      </c>
      <c r="CG17" t="e">
        <f>AND(#REF!,"AAAAAH/7fVQ=")</f>
        <v>#REF!</v>
      </c>
      <c r="CH17" t="e">
        <f>AND(#REF!,"AAAAAH/7fVU=")</f>
        <v>#REF!</v>
      </c>
      <c r="CI17" t="e">
        <f>AND(#REF!,"AAAAAH/7fVY=")</f>
        <v>#REF!</v>
      </c>
      <c r="CJ17" t="e">
        <f>AND(#REF!,"AAAAAH/7fVc=")</f>
        <v>#REF!</v>
      </c>
      <c r="CK17" t="e">
        <f>AND(#REF!,"AAAAAH/7fVg=")</f>
        <v>#REF!</v>
      </c>
      <c r="CL17" t="e">
        <f>AND(#REF!,"AAAAAH/7fVk=")</f>
        <v>#REF!</v>
      </c>
      <c r="CM17" t="e">
        <f>AND(#REF!,"AAAAAH/7fVo=")</f>
        <v>#REF!</v>
      </c>
      <c r="CN17" t="e">
        <f>AND(#REF!,"AAAAAH/7fVs=")</f>
        <v>#REF!</v>
      </c>
      <c r="CO17" t="e">
        <f>AND(#REF!,"AAAAAH/7fVw=")</f>
        <v>#REF!</v>
      </c>
      <c r="CP17" t="e">
        <f>IF(#REF!,"AAAAAH/7fV0=",0)</f>
        <v>#REF!</v>
      </c>
      <c r="CQ17" t="e">
        <f>AND(#REF!,"AAAAAH/7fV4=")</f>
        <v>#REF!</v>
      </c>
      <c r="CR17" t="e">
        <f>AND(#REF!,"AAAAAH/7fV8=")</f>
        <v>#REF!</v>
      </c>
      <c r="CS17" t="e">
        <f>AND(#REF!,"AAAAAH/7fWA=")</f>
        <v>#REF!</v>
      </c>
      <c r="CT17" t="e">
        <f>AND(#REF!,"AAAAAH/7fWE=")</f>
        <v>#REF!</v>
      </c>
      <c r="CU17" t="e">
        <f>AND(#REF!,"AAAAAH/7fWI=")</f>
        <v>#REF!</v>
      </c>
      <c r="CV17" t="e">
        <f>AND(#REF!,"AAAAAH/7fWM=")</f>
        <v>#REF!</v>
      </c>
      <c r="CW17" t="e">
        <f>AND(#REF!,"AAAAAH/7fWQ=")</f>
        <v>#REF!</v>
      </c>
      <c r="CX17" t="e">
        <f>AND(#REF!,"AAAAAH/7fWU=")</f>
        <v>#REF!</v>
      </c>
      <c r="CY17" t="e">
        <f>AND(#REF!,"AAAAAH/7fWY=")</f>
        <v>#REF!</v>
      </c>
      <c r="CZ17" t="e">
        <f>AND(#REF!,"AAAAAH/7fWc=")</f>
        <v>#REF!</v>
      </c>
      <c r="DA17" t="e">
        <f>AND(#REF!,"AAAAAH/7fWg=")</f>
        <v>#REF!</v>
      </c>
      <c r="DB17" t="e">
        <f>AND(#REF!,"AAAAAH/7fWk=")</f>
        <v>#REF!</v>
      </c>
      <c r="DC17" t="e">
        <f>IF(#REF!,"AAAAAH/7fWo=",0)</f>
        <v>#REF!</v>
      </c>
      <c r="DD17" t="e">
        <f>AND(#REF!,"AAAAAH/7fWs=")</f>
        <v>#REF!</v>
      </c>
      <c r="DE17" t="e">
        <f>AND(#REF!,"AAAAAH/7fWw=")</f>
        <v>#REF!</v>
      </c>
      <c r="DF17" t="e">
        <f>AND(#REF!,"AAAAAH/7fW0=")</f>
        <v>#REF!</v>
      </c>
      <c r="DG17" t="e">
        <f>AND(#REF!,"AAAAAH/7fW4=")</f>
        <v>#REF!</v>
      </c>
      <c r="DH17" t="e">
        <f>AND(#REF!,"AAAAAH/7fW8=")</f>
        <v>#REF!</v>
      </c>
      <c r="DI17" t="e">
        <f>AND(#REF!,"AAAAAH/7fXA=")</f>
        <v>#REF!</v>
      </c>
      <c r="DJ17" t="e">
        <f>AND(#REF!,"AAAAAH/7fXE=")</f>
        <v>#REF!</v>
      </c>
      <c r="DK17" t="e">
        <f>AND(#REF!,"AAAAAH/7fXI=")</f>
        <v>#REF!</v>
      </c>
      <c r="DL17" t="e">
        <f>AND(#REF!,"AAAAAH/7fXM=")</f>
        <v>#REF!</v>
      </c>
      <c r="DM17" t="e">
        <f>AND(#REF!,"AAAAAH/7fXQ=")</f>
        <v>#REF!</v>
      </c>
      <c r="DN17" t="e">
        <f>AND(#REF!,"AAAAAH/7fXU=")</f>
        <v>#REF!</v>
      </c>
      <c r="DO17" t="e">
        <f>AND(#REF!,"AAAAAH/7fXY=")</f>
        <v>#REF!</v>
      </c>
      <c r="DP17" t="e">
        <f>IF(#REF!,"AAAAAH/7fXc=",0)</f>
        <v>#REF!</v>
      </c>
      <c r="DQ17" t="e">
        <f>AND(#REF!,"AAAAAH/7fXg=")</f>
        <v>#REF!</v>
      </c>
      <c r="DR17" t="e">
        <f>AND(#REF!,"AAAAAH/7fXk=")</f>
        <v>#REF!</v>
      </c>
      <c r="DS17" t="e">
        <f>AND(#REF!,"AAAAAH/7fXo=")</f>
        <v>#REF!</v>
      </c>
      <c r="DT17" t="e">
        <f>AND(#REF!,"AAAAAH/7fXs=")</f>
        <v>#REF!</v>
      </c>
      <c r="DU17" t="e">
        <f>AND(#REF!,"AAAAAH/7fXw=")</f>
        <v>#REF!</v>
      </c>
      <c r="DV17" t="e">
        <f>AND(#REF!,"AAAAAH/7fX0=")</f>
        <v>#REF!</v>
      </c>
      <c r="DW17" t="e">
        <f>AND(#REF!,"AAAAAH/7fX4=")</f>
        <v>#REF!</v>
      </c>
      <c r="DX17" t="e">
        <f>AND(#REF!,"AAAAAH/7fX8=")</f>
        <v>#REF!</v>
      </c>
      <c r="DY17" t="e">
        <f>AND(#REF!,"AAAAAH/7fYA=")</f>
        <v>#REF!</v>
      </c>
      <c r="DZ17" t="e">
        <f>AND(#REF!,"AAAAAH/7fYE=")</f>
        <v>#REF!</v>
      </c>
      <c r="EA17" t="e">
        <f>AND(#REF!,"AAAAAH/7fYI=")</f>
        <v>#REF!</v>
      </c>
      <c r="EB17" t="e">
        <f>AND(#REF!,"AAAAAH/7fYM=")</f>
        <v>#REF!</v>
      </c>
      <c r="EC17" t="e">
        <f>IF(#REF!,"AAAAAH/7fYQ=",0)</f>
        <v>#REF!</v>
      </c>
      <c r="ED17" t="e">
        <f>AND(#REF!,"AAAAAH/7fYU=")</f>
        <v>#REF!</v>
      </c>
      <c r="EE17" t="e">
        <f>AND(#REF!,"AAAAAH/7fYY=")</f>
        <v>#REF!</v>
      </c>
      <c r="EF17" t="e">
        <f>AND(#REF!,"AAAAAH/7fYc=")</f>
        <v>#REF!</v>
      </c>
      <c r="EG17" t="e">
        <f>AND(#REF!,"AAAAAH/7fYg=")</f>
        <v>#REF!</v>
      </c>
      <c r="EH17" t="e">
        <f>AND(#REF!,"AAAAAH/7fYk=")</f>
        <v>#REF!</v>
      </c>
      <c r="EI17" t="e">
        <f>AND(#REF!,"AAAAAH/7fYo=")</f>
        <v>#REF!</v>
      </c>
      <c r="EJ17" t="e">
        <f>AND(#REF!,"AAAAAH/7fYs=")</f>
        <v>#REF!</v>
      </c>
      <c r="EK17" t="e">
        <f>AND(#REF!,"AAAAAH/7fYw=")</f>
        <v>#REF!</v>
      </c>
      <c r="EL17" t="e">
        <f>AND(#REF!,"AAAAAH/7fY0=")</f>
        <v>#REF!</v>
      </c>
      <c r="EM17" t="e">
        <f>AND(#REF!,"AAAAAH/7fY4=")</f>
        <v>#REF!</v>
      </c>
      <c r="EN17" t="e">
        <f>AND(#REF!,"AAAAAH/7fY8=")</f>
        <v>#REF!</v>
      </c>
      <c r="EO17" t="e">
        <f>AND(#REF!,"AAAAAH/7fZA=")</f>
        <v>#REF!</v>
      </c>
      <c r="EP17" t="e">
        <f>IF(#REF!,"AAAAAH/7fZE=",0)</f>
        <v>#REF!</v>
      </c>
      <c r="EQ17" t="e">
        <f>AND(#REF!,"AAAAAH/7fZI=")</f>
        <v>#REF!</v>
      </c>
      <c r="ER17" t="e">
        <f>AND(#REF!,"AAAAAH/7fZM=")</f>
        <v>#REF!</v>
      </c>
      <c r="ES17" t="e">
        <f>AND(#REF!,"AAAAAH/7fZQ=")</f>
        <v>#REF!</v>
      </c>
      <c r="ET17" t="e">
        <f>AND(#REF!,"AAAAAH/7fZU=")</f>
        <v>#REF!</v>
      </c>
      <c r="EU17" t="e">
        <f>AND(#REF!,"AAAAAH/7fZY=")</f>
        <v>#REF!</v>
      </c>
      <c r="EV17" t="e">
        <f>AND(#REF!,"AAAAAH/7fZc=")</f>
        <v>#REF!</v>
      </c>
      <c r="EW17" t="e">
        <f>AND(#REF!,"AAAAAH/7fZg=")</f>
        <v>#REF!</v>
      </c>
      <c r="EX17" t="e">
        <f>AND(#REF!,"AAAAAH/7fZk=")</f>
        <v>#REF!</v>
      </c>
      <c r="EY17" t="e">
        <f>AND(#REF!,"AAAAAH/7fZo=")</f>
        <v>#REF!</v>
      </c>
      <c r="EZ17" t="e">
        <f>AND(#REF!,"AAAAAH/7fZs=")</f>
        <v>#REF!</v>
      </c>
      <c r="FA17" t="e">
        <f>AND(#REF!,"AAAAAH/7fZw=")</f>
        <v>#REF!</v>
      </c>
      <c r="FB17" t="e">
        <f>AND(#REF!,"AAAAAH/7fZ0=")</f>
        <v>#REF!</v>
      </c>
      <c r="FC17" t="e">
        <f>IF(#REF!,"AAAAAH/7fZ4=",0)</f>
        <v>#REF!</v>
      </c>
      <c r="FD17" t="e">
        <f>AND(#REF!,"AAAAAH/7fZ8=")</f>
        <v>#REF!</v>
      </c>
      <c r="FE17" t="e">
        <f>AND(#REF!,"AAAAAH/7faA=")</f>
        <v>#REF!</v>
      </c>
      <c r="FF17" t="e">
        <f>AND(#REF!,"AAAAAH/7faE=")</f>
        <v>#REF!</v>
      </c>
      <c r="FG17" t="e">
        <f>AND(#REF!,"AAAAAH/7faI=")</f>
        <v>#REF!</v>
      </c>
      <c r="FH17" t="e">
        <f>AND(#REF!,"AAAAAH/7faM=")</f>
        <v>#REF!</v>
      </c>
      <c r="FI17" t="e">
        <f>AND(#REF!,"AAAAAH/7faQ=")</f>
        <v>#REF!</v>
      </c>
      <c r="FJ17" t="e">
        <f>AND(#REF!,"AAAAAH/7faU=")</f>
        <v>#REF!</v>
      </c>
      <c r="FK17" t="e">
        <f>AND(#REF!,"AAAAAH/7faY=")</f>
        <v>#REF!</v>
      </c>
      <c r="FL17" t="e">
        <f>AND(#REF!,"AAAAAH/7fac=")</f>
        <v>#REF!</v>
      </c>
      <c r="FM17" t="e">
        <f>AND(#REF!,"AAAAAH/7fag=")</f>
        <v>#REF!</v>
      </c>
      <c r="FN17" t="e">
        <f>AND(#REF!,"AAAAAH/7fak=")</f>
        <v>#REF!</v>
      </c>
      <c r="FO17" t="e">
        <f>AND(#REF!,"AAAAAH/7fao=")</f>
        <v>#REF!</v>
      </c>
      <c r="FP17" t="e">
        <f>IF(#REF!,"AAAAAH/7fas=",0)</f>
        <v>#REF!</v>
      </c>
      <c r="FQ17" t="e">
        <f>AND(#REF!,"AAAAAH/7faw=")</f>
        <v>#REF!</v>
      </c>
      <c r="FR17" t="e">
        <f>AND(#REF!,"AAAAAH/7fa0=")</f>
        <v>#REF!</v>
      </c>
      <c r="FS17" t="e">
        <f>AND(#REF!,"AAAAAH/7fa4=")</f>
        <v>#REF!</v>
      </c>
      <c r="FT17" t="e">
        <f>AND(#REF!,"AAAAAH/7fa8=")</f>
        <v>#REF!</v>
      </c>
      <c r="FU17" t="e">
        <f>AND(#REF!,"AAAAAH/7fbA=")</f>
        <v>#REF!</v>
      </c>
      <c r="FV17" t="e">
        <f>AND(#REF!,"AAAAAH/7fbE=")</f>
        <v>#REF!</v>
      </c>
      <c r="FW17" t="e">
        <f>AND(#REF!,"AAAAAH/7fbI=")</f>
        <v>#REF!</v>
      </c>
      <c r="FX17" t="e">
        <f>AND(#REF!,"AAAAAH/7fbM=")</f>
        <v>#REF!</v>
      </c>
      <c r="FY17" t="e">
        <f>AND(#REF!,"AAAAAH/7fbQ=")</f>
        <v>#REF!</v>
      </c>
      <c r="FZ17" t="e">
        <f>AND(#REF!,"AAAAAH/7fbU=")</f>
        <v>#REF!</v>
      </c>
      <c r="GA17" t="e">
        <f>AND(#REF!,"AAAAAH/7fbY=")</f>
        <v>#REF!</v>
      </c>
      <c r="GB17" t="e">
        <f>AND(#REF!,"AAAAAH/7fbc=")</f>
        <v>#REF!</v>
      </c>
      <c r="GC17" t="e">
        <f>IF(#REF!,"AAAAAH/7fbg=",0)</f>
        <v>#REF!</v>
      </c>
      <c r="GD17" t="e">
        <f>AND(#REF!,"AAAAAH/7fbk=")</f>
        <v>#REF!</v>
      </c>
      <c r="GE17" t="e">
        <f>AND(#REF!,"AAAAAH/7fbo=")</f>
        <v>#REF!</v>
      </c>
      <c r="GF17" t="e">
        <f>AND(#REF!,"AAAAAH/7fbs=")</f>
        <v>#REF!</v>
      </c>
      <c r="GG17" t="e">
        <f>AND(#REF!,"AAAAAH/7fbw=")</f>
        <v>#REF!</v>
      </c>
      <c r="GH17" t="e">
        <f>AND(#REF!,"AAAAAH/7fb0=")</f>
        <v>#REF!</v>
      </c>
      <c r="GI17" t="e">
        <f>AND(#REF!,"AAAAAH/7fb4=")</f>
        <v>#REF!</v>
      </c>
      <c r="GJ17" t="e">
        <f>AND(#REF!,"AAAAAH/7fb8=")</f>
        <v>#REF!</v>
      </c>
      <c r="GK17" t="e">
        <f>AND(#REF!,"AAAAAH/7fcA=")</f>
        <v>#REF!</v>
      </c>
      <c r="GL17" t="e">
        <f>AND(#REF!,"AAAAAH/7fcE=")</f>
        <v>#REF!</v>
      </c>
      <c r="GM17" t="e">
        <f>AND(#REF!,"AAAAAH/7fcI=")</f>
        <v>#REF!</v>
      </c>
      <c r="GN17" t="e">
        <f>AND(#REF!,"AAAAAH/7fcM=")</f>
        <v>#REF!</v>
      </c>
      <c r="GO17" t="e">
        <f>AND(#REF!,"AAAAAH/7fcQ=")</f>
        <v>#REF!</v>
      </c>
      <c r="GP17" t="e">
        <f>IF(#REF!,"AAAAAH/7fcU=",0)</f>
        <v>#REF!</v>
      </c>
      <c r="GQ17" t="e">
        <f>AND(#REF!,"AAAAAH/7fcY=")</f>
        <v>#REF!</v>
      </c>
      <c r="GR17" t="e">
        <f>AND(#REF!,"AAAAAH/7fcc=")</f>
        <v>#REF!</v>
      </c>
      <c r="GS17" t="e">
        <f>AND(#REF!,"AAAAAH/7fcg=")</f>
        <v>#REF!</v>
      </c>
      <c r="GT17" t="e">
        <f>AND(#REF!,"AAAAAH/7fck=")</f>
        <v>#REF!</v>
      </c>
      <c r="GU17" t="e">
        <f>AND(#REF!,"AAAAAH/7fco=")</f>
        <v>#REF!</v>
      </c>
      <c r="GV17" t="e">
        <f>AND(#REF!,"AAAAAH/7fcs=")</f>
        <v>#REF!</v>
      </c>
      <c r="GW17" t="e">
        <f>AND(#REF!,"AAAAAH/7fcw=")</f>
        <v>#REF!</v>
      </c>
      <c r="GX17" t="e">
        <f>AND(#REF!,"AAAAAH/7fc0=")</f>
        <v>#REF!</v>
      </c>
      <c r="GY17" t="e">
        <f>AND(#REF!,"AAAAAH/7fc4=")</f>
        <v>#REF!</v>
      </c>
      <c r="GZ17" t="e">
        <f>AND(#REF!,"AAAAAH/7fc8=")</f>
        <v>#REF!</v>
      </c>
      <c r="HA17" t="e">
        <f>AND(#REF!,"AAAAAH/7fdA=")</f>
        <v>#REF!</v>
      </c>
      <c r="HB17" t="e">
        <f>AND(#REF!,"AAAAAH/7fdE=")</f>
        <v>#REF!</v>
      </c>
      <c r="HC17" t="e">
        <f>IF(#REF!,"AAAAAH/7fdI=",0)</f>
        <v>#REF!</v>
      </c>
      <c r="HD17" t="e">
        <f>AND(#REF!,"AAAAAH/7fdM=")</f>
        <v>#REF!</v>
      </c>
      <c r="HE17" t="e">
        <f>AND(#REF!,"AAAAAH/7fdQ=")</f>
        <v>#REF!</v>
      </c>
      <c r="HF17" t="e">
        <f>AND(#REF!,"AAAAAH/7fdU=")</f>
        <v>#REF!</v>
      </c>
      <c r="HG17" t="e">
        <f>AND(#REF!,"AAAAAH/7fdY=")</f>
        <v>#REF!</v>
      </c>
      <c r="HH17" t="e">
        <f>AND(#REF!,"AAAAAH/7fdc=")</f>
        <v>#REF!</v>
      </c>
      <c r="HI17" t="e">
        <f>AND(#REF!,"AAAAAH/7fdg=")</f>
        <v>#REF!</v>
      </c>
      <c r="HJ17" t="e">
        <f>AND(#REF!,"AAAAAH/7fdk=")</f>
        <v>#REF!</v>
      </c>
      <c r="HK17" t="e">
        <f>AND(#REF!,"AAAAAH/7fdo=")</f>
        <v>#REF!</v>
      </c>
      <c r="HL17" t="e">
        <f>AND(#REF!,"AAAAAH/7fds=")</f>
        <v>#REF!</v>
      </c>
      <c r="HM17" t="e">
        <f>AND(#REF!,"AAAAAH/7fdw=")</f>
        <v>#REF!</v>
      </c>
      <c r="HN17" t="e">
        <f>AND(#REF!,"AAAAAH/7fd0=")</f>
        <v>#REF!</v>
      </c>
      <c r="HO17" t="e">
        <f>AND(#REF!,"AAAAAH/7fd4=")</f>
        <v>#REF!</v>
      </c>
      <c r="HP17" t="e">
        <f>IF(#REF!,"AAAAAH/7fd8=",0)</f>
        <v>#REF!</v>
      </c>
      <c r="HQ17" t="e">
        <f>AND(#REF!,"AAAAAH/7feA=")</f>
        <v>#REF!</v>
      </c>
      <c r="HR17" t="e">
        <f>AND(#REF!,"AAAAAH/7feE=")</f>
        <v>#REF!</v>
      </c>
      <c r="HS17" t="e">
        <f>AND(#REF!,"AAAAAH/7feI=")</f>
        <v>#REF!</v>
      </c>
      <c r="HT17" t="e">
        <f>AND(#REF!,"AAAAAH/7feM=")</f>
        <v>#REF!</v>
      </c>
      <c r="HU17" t="e">
        <f>AND(#REF!,"AAAAAH/7feQ=")</f>
        <v>#REF!</v>
      </c>
      <c r="HV17" t="e">
        <f>AND(#REF!,"AAAAAH/7feU=")</f>
        <v>#REF!</v>
      </c>
      <c r="HW17" t="e">
        <f>AND(#REF!,"AAAAAH/7feY=")</f>
        <v>#REF!</v>
      </c>
      <c r="HX17" t="e">
        <f>AND(#REF!,"AAAAAH/7fec=")</f>
        <v>#REF!</v>
      </c>
      <c r="HY17" t="e">
        <f>AND(#REF!,"AAAAAH/7feg=")</f>
        <v>#REF!</v>
      </c>
      <c r="HZ17" t="e">
        <f>AND(#REF!,"AAAAAH/7fek=")</f>
        <v>#REF!</v>
      </c>
      <c r="IA17" t="e">
        <f>AND(#REF!,"AAAAAH/7feo=")</f>
        <v>#REF!</v>
      </c>
      <c r="IB17" t="e">
        <f>AND(#REF!,"AAAAAH/7fes=")</f>
        <v>#REF!</v>
      </c>
      <c r="IC17" t="e">
        <f>IF(#REF!,"AAAAAH/7few=",0)</f>
        <v>#REF!</v>
      </c>
      <c r="ID17" t="e">
        <f>AND(#REF!,"AAAAAH/7fe0=")</f>
        <v>#REF!</v>
      </c>
      <c r="IE17" t="e">
        <f>AND(#REF!,"AAAAAH/7fe4=")</f>
        <v>#REF!</v>
      </c>
      <c r="IF17" t="e">
        <f>AND(#REF!,"AAAAAH/7fe8=")</f>
        <v>#REF!</v>
      </c>
      <c r="IG17" t="e">
        <f>AND(#REF!,"AAAAAH/7ffA=")</f>
        <v>#REF!</v>
      </c>
      <c r="IH17" t="e">
        <f>AND(#REF!,"AAAAAH/7ffE=")</f>
        <v>#REF!</v>
      </c>
      <c r="II17" t="e">
        <f>AND(#REF!,"AAAAAH/7ffI=")</f>
        <v>#REF!</v>
      </c>
      <c r="IJ17" t="e">
        <f>AND(#REF!,"AAAAAH/7ffM=")</f>
        <v>#REF!</v>
      </c>
      <c r="IK17" t="e">
        <f>AND(#REF!,"AAAAAH/7ffQ=")</f>
        <v>#REF!</v>
      </c>
      <c r="IL17" t="e">
        <f>AND(#REF!,"AAAAAH/7ffU=")</f>
        <v>#REF!</v>
      </c>
      <c r="IM17" t="e">
        <f>AND(#REF!,"AAAAAH/7ffY=")</f>
        <v>#REF!</v>
      </c>
      <c r="IN17" t="e">
        <f>AND(#REF!,"AAAAAH/7ffc=")</f>
        <v>#REF!</v>
      </c>
      <c r="IO17" t="e">
        <f>AND(#REF!,"AAAAAH/7ffg=")</f>
        <v>#REF!</v>
      </c>
      <c r="IP17" t="e">
        <f>IF(#REF!,"AAAAAH/7ffk=",0)</f>
        <v>#REF!</v>
      </c>
      <c r="IQ17" t="e">
        <f>AND(#REF!,"AAAAAH/7ffo=")</f>
        <v>#REF!</v>
      </c>
      <c r="IR17" t="e">
        <f>AND(#REF!,"AAAAAH/7ffs=")</f>
        <v>#REF!</v>
      </c>
      <c r="IS17" t="e">
        <f>AND(#REF!,"AAAAAH/7ffw=")</f>
        <v>#REF!</v>
      </c>
      <c r="IT17" t="e">
        <f>AND(#REF!,"AAAAAH/7ff0=")</f>
        <v>#REF!</v>
      </c>
      <c r="IU17" t="e">
        <f>AND(#REF!,"AAAAAH/7ff4=")</f>
        <v>#REF!</v>
      </c>
      <c r="IV17" t="e">
        <f>AND(#REF!,"AAAAAH/7ff8=")</f>
        <v>#REF!</v>
      </c>
    </row>
    <row r="18" spans="1:256">
      <c r="A18" t="e">
        <f>AND(#REF!,"AAAAAH9v9AA=")</f>
        <v>#REF!</v>
      </c>
      <c r="B18" t="e">
        <f>AND(#REF!,"AAAAAH9v9AE=")</f>
        <v>#REF!</v>
      </c>
      <c r="C18" t="e">
        <f>AND(#REF!,"AAAAAH9v9AI=")</f>
        <v>#REF!</v>
      </c>
      <c r="D18" t="e">
        <f>AND(#REF!,"AAAAAH9v9AM=")</f>
        <v>#REF!</v>
      </c>
      <c r="E18" t="e">
        <f>AND(#REF!,"AAAAAH9v9AQ=")</f>
        <v>#REF!</v>
      </c>
      <c r="F18" t="e">
        <f>AND(#REF!,"AAAAAH9v9AU=")</f>
        <v>#REF!</v>
      </c>
      <c r="G18" t="e">
        <f>IF(#REF!,"AAAAAH9v9AY=",0)</f>
        <v>#REF!</v>
      </c>
      <c r="H18" t="e">
        <f>AND(#REF!,"AAAAAH9v9Ac=")</f>
        <v>#REF!</v>
      </c>
      <c r="I18" t="e">
        <f>AND(#REF!,"AAAAAH9v9Ag=")</f>
        <v>#REF!</v>
      </c>
      <c r="J18" t="e">
        <f>AND(#REF!,"AAAAAH9v9Ak=")</f>
        <v>#REF!</v>
      </c>
      <c r="K18" t="e">
        <f>AND(#REF!,"AAAAAH9v9Ao=")</f>
        <v>#REF!</v>
      </c>
      <c r="L18" t="e">
        <f>AND(#REF!,"AAAAAH9v9As=")</f>
        <v>#REF!</v>
      </c>
      <c r="M18" t="e">
        <f>AND(#REF!,"AAAAAH9v9Aw=")</f>
        <v>#REF!</v>
      </c>
      <c r="N18" t="e">
        <f>AND(#REF!,"AAAAAH9v9A0=")</f>
        <v>#REF!</v>
      </c>
      <c r="O18" t="e">
        <f>AND(#REF!,"AAAAAH9v9A4=")</f>
        <v>#REF!</v>
      </c>
      <c r="P18" t="e">
        <f>AND(#REF!,"AAAAAH9v9A8=")</f>
        <v>#REF!</v>
      </c>
      <c r="Q18" t="e">
        <f>AND(#REF!,"AAAAAH9v9BA=")</f>
        <v>#REF!</v>
      </c>
      <c r="R18" t="e">
        <f>AND(#REF!,"AAAAAH9v9BE=")</f>
        <v>#REF!</v>
      </c>
      <c r="S18" t="e">
        <f>AND(#REF!,"AAAAAH9v9BI=")</f>
        <v>#REF!</v>
      </c>
      <c r="T18" t="e">
        <f>IF(#REF!,"AAAAAH9v9BM=",0)</f>
        <v>#REF!</v>
      </c>
      <c r="U18" t="e">
        <f>AND(#REF!,"AAAAAH9v9BQ=")</f>
        <v>#REF!</v>
      </c>
      <c r="V18" t="e">
        <f>AND(#REF!,"AAAAAH9v9BU=")</f>
        <v>#REF!</v>
      </c>
      <c r="W18" t="e">
        <f>AND(#REF!,"AAAAAH9v9BY=")</f>
        <v>#REF!</v>
      </c>
      <c r="X18" t="e">
        <f>AND(#REF!,"AAAAAH9v9Bc=")</f>
        <v>#REF!</v>
      </c>
      <c r="Y18" t="e">
        <f>AND(#REF!,"AAAAAH9v9Bg=")</f>
        <v>#REF!</v>
      </c>
      <c r="Z18" t="e">
        <f>AND(#REF!,"AAAAAH9v9Bk=")</f>
        <v>#REF!</v>
      </c>
      <c r="AA18" t="e">
        <f>AND(#REF!,"AAAAAH9v9Bo=")</f>
        <v>#REF!</v>
      </c>
      <c r="AB18" t="e">
        <f>AND(#REF!,"AAAAAH9v9Bs=")</f>
        <v>#REF!</v>
      </c>
      <c r="AC18" t="e">
        <f>AND(#REF!,"AAAAAH9v9Bw=")</f>
        <v>#REF!</v>
      </c>
      <c r="AD18" t="e">
        <f>AND(#REF!,"AAAAAH9v9B0=")</f>
        <v>#REF!</v>
      </c>
      <c r="AE18" t="e">
        <f>AND(#REF!,"AAAAAH9v9B4=")</f>
        <v>#REF!</v>
      </c>
      <c r="AF18" t="e">
        <f>AND(#REF!,"AAAAAH9v9B8=")</f>
        <v>#REF!</v>
      </c>
      <c r="AG18" t="e">
        <f>IF(#REF!,"AAAAAH9v9CA=",0)</f>
        <v>#REF!</v>
      </c>
      <c r="AH18" t="e">
        <f>AND(#REF!,"AAAAAH9v9CE=")</f>
        <v>#REF!</v>
      </c>
      <c r="AI18" t="e">
        <f>AND(#REF!,"AAAAAH9v9CI=")</f>
        <v>#REF!</v>
      </c>
      <c r="AJ18" t="e">
        <f>AND(#REF!,"AAAAAH9v9CM=")</f>
        <v>#REF!</v>
      </c>
      <c r="AK18" t="e">
        <f>AND(#REF!,"AAAAAH9v9CQ=")</f>
        <v>#REF!</v>
      </c>
      <c r="AL18" t="e">
        <f>AND(#REF!,"AAAAAH9v9CU=")</f>
        <v>#REF!</v>
      </c>
      <c r="AM18" t="e">
        <f>AND(#REF!,"AAAAAH9v9CY=")</f>
        <v>#REF!</v>
      </c>
      <c r="AN18" t="e">
        <f>AND(#REF!,"AAAAAH9v9Cc=")</f>
        <v>#REF!</v>
      </c>
      <c r="AO18" t="e">
        <f>AND(#REF!,"AAAAAH9v9Cg=")</f>
        <v>#REF!</v>
      </c>
      <c r="AP18" t="e">
        <f>AND(#REF!,"AAAAAH9v9Ck=")</f>
        <v>#REF!</v>
      </c>
      <c r="AQ18" t="e">
        <f>AND(#REF!,"AAAAAH9v9Co=")</f>
        <v>#REF!</v>
      </c>
      <c r="AR18" t="e">
        <f>AND(#REF!,"AAAAAH9v9Cs=")</f>
        <v>#REF!</v>
      </c>
      <c r="AS18" t="e">
        <f>AND(#REF!,"AAAAAH9v9Cw=")</f>
        <v>#REF!</v>
      </c>
      <c r="AT18" t="e">
        <f>IF(#REF!,"AAAAAH9v9C0=",0)</f>
        <v>#REF!</v>
      </c>
      <c r="AU18" t="e">
        <f>AND(#REF!,"AAAAAH9v9C4=")</f>
        <v>#REF!</v>
      </c>
      <c r="AV18" t="e">
        <f>AND(#REF!,"AAAAAH9v9C8=")</f>
        <v>#REF!</v>
      </c>
      <c r="AW18" t="e">
        <f>AND(#REF!,"AAAAAH9v9DA=")</f>
        <v>#REF!</v>
      </c>
      <c r="AX18" t="e">
        <f>AND(#REF!,"AAAAAH9v9DE=")</f>
        <v>#REF!</v>
      </c>
      <c r="AY18" t="e">
        <f>AND(#REF!,"AAAAAH9v9DI=")</f>
        <v>#REF!</v>
      </c>
      <c r="AZ18" t="e">
        <f>AND(#REF!,"AAAAAH9v9DM=")</f>
        <v>#REF!</v>
      </c>
      <c r="BA18" t="e">
        <f>AND(#REF!,"AAAAAH9v9DQ=")</f>
        <v>#REF!</v>
      </c>
      <c r="BB18" t="e">
        <f>AND(#REF!,"AAAAAH9v9DU=")</f>
        <v>#REF!</v>
      </c>
      <c r="BC18" t="e">
        <f>AND(#REF!,"AAAAAH9v9DY=")</f>
        <v>#REF!</v>
      </c>
      <c r="BD18" t="e">
        <f>AND(#REF!,"AAAAAH9v9Dc=")</f>
        <v>#REF!</v>
      </c>
      <c r="BE18" t="e">
        <f>AND(#REF!,"AAAAAH9v9Dg=")</f>
        <v>#REF!</v>
      </c>
      <c r="BF18" t="e">
        <f>AND(#REF!,"AAAAAH9v9Dk=")</f>
        <v>#REF!</v>
      </c>
      <c r="BG18" t="e">
        <f>IF(#REF!,"AAAAAH9v9Do=",0)</f>
        <v>#REF!</v>
      </c>
      <c r="BH18" t="e">
        <f>AND(#REF!,"AAAAAH9v9Ds=")</f>
        <v>#REF!</v>
      </c>
      <c r="BI18" t="e">
        <f>AND(#REF!,"AAAAAH9v9Dw=")</f>
        <v>#REF!</v>
      </c>
      <c r="BJ18" t="e">
        <f>AND(#REF!,"AAAAAH9v9D0=")</f>
        <v>#REF!</v>
      </c>
      <c r="BK18" t="e">
        <f>AND(#REF!,"AAAAAH9v9D4=")</f>
        <v>#REF!</v>
      </c>
      <c r="BL18" t="e">
        <f>AND(#REF!,"AAAAAH9v9D8=")</f>
        <v>#REF!</v>
      </c>
      <c r="BM18" t="e">
        <f>AND(#REF!,"AAAAAH9v9EA=")</f>
        <v>#REF!</v>
      </c>
      <c r="BN18" t="e">
        <f>AND(#REF!,"AAAAAH9v9EE=")</f>
        <v>#REF!</v>
      </c>
      <c r="BO18" t="e">
        <f>AND(#REF!,"AAAAAH9v9EI=")</f>
        <v>#REF!</v>
      </c>
      <c r="BP18" t="e">
        <f>AND(#REF!,"AAAAAH9v9EM=")</f>
        <v>#REF!</v>
      </c>
      <c r="BQ18" t="e">
        <f>AND(#REF!,"AAAAAH9v9EQ=")</f>
        <v>#REF!</v>
      </c>
      <c r="BR18" t="e">
        <f>AND(#REF!,"AAAAAH9v9EU=")</f>
        <v>#REF!</v>
      </c>
      <c r="BS18" t="e">
        <f>AND(#REF!,"AAAAAH9v9EY=")</f>
        <v>#REF!</v>
      </c>
      <c r="BT18" t="e">
        <f>IF(#REF!,"AAAAAH9v9Ec=",0)</f>
        <v>#REF!</v>
      </c>
      <c r="BU18" t="e">
        <f>AND(#REF!,"AAAAAH9v9Eg=")</f>
        <v>#REF!</v>
      </c>
      <c r="BV18" t="e">
        <f>AND(#REF!,"AAAAAH9v9Ek=")</f>
        <v>#REF!</v>
      </c>
      <c r="BW18" t="e">
        <f>AND(#REF!,"AAAAAH9v9Eo=")</f>
        <v>#REF!</v>
      </c>
      <c r="BX18" t="e">
        <f>AND(#REF!,"AAAAAH9v9Es=")</f>
        <v>#REF!</v>
      </c>
      <c r="BY18" t="e">
        <f>AND(#REF!,"AAAAAH9v9Ew=")</f>
        <v>#REF!</v>
      </c>
      <c r="BZ18" t="e">
        <f>AND(#REF!,"AAAAAH9v9E0=")</f>
        <v>#REF!</v>
      </c>
      <c r="CA18" t="e">
        <f>AND(#REF!,"AAAAAH9v9E4=")</f>
        <v>#REF!</v>
      </c>
      <c r="CB18" t="e">
        <f>AND(#REF!,"AAAAAH9v9E8=")</f>
        <v>#REF!</v>
      </c>
      <c r="CC18" t="e">
        <f>AND(#REF!,"AAAAAH9v9FA=")</f>
        <v>#REF!</v>
      </c>
      <c r="CD18" t="e">
        <f>AND(#REF!,"AAAAAH9v9FE=")</f>
        <v>#REF!</v>
      </c>
      <c r="CE18" t="e">
        <f>AND(#REF!,"AAAAAH9v9FI=")</f>
        <v>#REF!</v>
      </c>
      <c r="CF18" t="e">
        <f>AND(#REF!,"AAAAAH9v9FM=")</f>
        <v>#REF!</v>
      </c>
      <c r="CG18" t="e">
        <f>IF(#REF!,"AAAAAH9v9FQ=",0)</f>
        <v>#REF!</v>
      </c>
      <c r="CH18" t="e">
        <f>AND(#REF!,"AAAAAH9v9FU=")</f>
        <v>#REF!</v>
      </c>
      <c r="CI18" t="e">
        <f>AND(#REF!,"AAAAAH9v9FY=")</f>
        <v>#REF!</v>
      </c>
      <c r="CJ18" t="e">
        <f>AND(#REF!,"AAAAAH9v9Fc=")</f>
        <v>#REF!</v>
      </c>
      <c r="CK18" t="e">
        <f>AND(#REF!,"AAAAAH9v9Fg=")</f>
        <v>#REF!</v>
      </c>
      <c r="CL18" t="e">
        <f>AND(#REF!,"AAAAAH9v9Fk=")</f>
        <v>#REF!</v>
      </c>
      <c r="CM18" t="e">
        <f>AND(#REF!,"AAAAAH9v9Fo=")</f>
        <v>#REF!</v>
      </c>
      <c r="CN18" t="e">
        <f>AND(#REF!,"AAAAAH9v9Fs=")</f>
        <v>#REF!</v>
      </c>
      <c r="CO18" t="e">
        <f>AND(#REF!,"AAAAAH9v9Fw=")</f>
        <v>#REF!</v>
      </c>
      <c r="CP18" t="e">
        <f>AND(#REF!,"AAAAAH9v9F0=")</f>
        <v>#REF!</v>
      </c>
      <c r="CQ18" t="e">
        <f>AND(#REF!,"AAAAAH9v9F4=")</f>
        <v>#REF!</v>
      </c>
      <c r="CR18" t="e">
        <f>AND(#REF!,"AAAAAH9v9F8=")</f>
        <v>#REF!</v>
      </c>
      <c r="CS18" t="e">
        <f>AND(#REF!,"AAAAAH9v9GA=")</f>
        <v>#REF!</v>
      </c>
      <c r="CT18" t="e">
        <f>IF(#REF!,"AAAAAH9v9GE=",0)</f>
        <v>#REF!</v>
      </c>
      <c r="CU18" t="e">
        <f>AND(#REF!,"AAAAAH9v9GI=")</f>
        <v>#REF!</v>
      </c>
      <c r="CV18" t="e">
        <f>AND(#REF!,"AAAAAH9v9GM=")</f>
        <v>#REF!</v>
      </c>
      <c r="CW18" t="e">
        <f>AND(#REF!,"AAAAAH9v9GQ=")</f>
        <v>#REF!</v>
      </c>
      <c r="CX18" t="e">
        <f>AND(#REF!,"AAAAAH9v9GU=")</f>
        <v>#REF!</v>
      </c>
      <c r="CY18" t="e">
        <f>AND(#REF!,"AAAAAH9v9GY=")</f>
        <v>#REF!</v>
      </c>
      <c r="CZ18" t="e">
        <f>AND(#REF!,"AAAAAH9v9Gc=")</f>
        <v>#REF!</v>
      </c>
      <c r="DA18" t="e">
        <f>AND(#REF!,"AAAAAH9v9Gg=")</f>
        <v>#REF!</v>
      </c>
      <c r="DB18" t="e">
        <f>AND(#REF!,"AAAAAH9v9Gk=")</f>
        <v>#REF!</v>
      </c>
      <c r="DC18" t="e">
        <f>AND(#REF!,"AAAAAH9v9Go=")</f>
        <v>#REF!</v>
      </c>
      <c r="DD18" t="e">
        <f>AND(#REF!,"AAAAAH9v9Gs=")</f>
        <v>#REF!</v>
      </c>
      <c r="DE18" t="e">
        <f>AND(#REF!,"AAAAAH9v9Gw=")</f>
        <v>#REF!</v>
      </c>
      <c r="DF18" t="e">
        <f>AND(#REF!,"AAAAAH9v9G0=")</f>
        <v>#REF!</v>
      </c>
      <c r="DG18" t="e">
        <f>IF(#REF!,"AAAAAH9v9G4=",0)</f>
        <v>#REF!</v>
      </c>
      <c r="DH18" t="e">
        <f>AND(#REF!,"AAAAAH9v9G8=")</f>
        <v>#REF!</v>
      </c>
      <c r="DI18" t="e">
        <f>AND(#REF!,"AAAAAH9v9HA=")</f>
        <v>#REF!</v>
      </c>
      <c r="DJ18" t="e">
        <f>AND(#REF!,"AAAAAH9v9HE=")</f>
        <v>#REF!</v>
      </c>
      <c r="DK18" t="e">
        <f>AND(#REF!,"AAAAAH9v9HI=")</f>
        <v>#REF!</v>
      </c>
      <c r="DL18" t="e">
        <f>AND(#REF!,"AAAAAH9v9HM=")</f>
        <v>#REF!</v>
      </c>
      <c r="DM18" t="e">
        <f>AND(#REF!,"AAAAAH9v9HQ=")</f>
        <v>#REF!</v>
      </c>
      <c r="DN18" t="e">
        <f>AND(#REF!,"AAAAAH9v9HU=")</f>
        <v>#REF!</v>
      </c>
      <c r="DO18" t="e">
        <f>AND(#REF!,"AAAAAH9v9HY=")</f>
        <v>#REF!</v>
      </c>
      <c r="DP18" t="e">
        <f>AND(#REF!,"AAAAAH9v9Hc=")</f>
        <v>#REF!</v>
      </c>
      <c r="DQ18" t="e">
        <f>AND(#REF!,"AAAAAH9v9Hg=")</f>
        <v>#REF!</v>
      </c>
      <c r="DR18" t="e">
        <f>AND(#REF!,"AAAAAH9v9Hk=")</f>
        <v>#REF!</v>
      </c>
      <c r="DS18" t="e">
        <f>AND(#REF!,"AAAAAH9v9Ho=")</f>
        <v>#REF!</v>
      </c>
      <c r="DT18" t="e">
        <f>IF(#REF!,"AAAAAH9v9Hs=",0)</f>
        <v>#REF!</v>
      </c>
      <c r="DU18" t="e">
        <f>AND(#REF!,"AAAAAH9v9Hw=")</f>
        <v>#REF!</v>
      </c>
      <c r="DV18" t="e">
        <f>AND(#REF!,"AAAAAH9v9H0=")</f>
        <v>#REF!</v>
      </c>
      <c r="DW18" t="e">
        <f>AND(#REF!,"AAAAAH9v9H4=")</f>
        <v>#REF!</v>
      </c>
      <c r="DX18" t="e">
        <f>AND(#REF!,"AAAAAH9v9H8=")</f>
        <v>#REF!</v>
      </c>
      <c r="DY18" t="e">
        <f>AND(#REF!,"AAAAAH9v9IA=")</f>
        <v>#REF!</v>
      </c>
      <c r="DZ18" t="e">
        <f>AND(#REF!,"AAAAAH9v9IE=")</f>
        <v>#REF!</v>
      </c>
      <c r="EA18" t="e">
        <f>AND(#REF!,"AAAAAH9v9II=")</f>
        <v>#REF!</v>
      </c>
      <c r="EB18" t="e">
        <f>AND(#REF!,"AAAAAH9v9IM=")</f>
        <v>#REF!</v>
      </c>
      <c r="EC18" t="e">
        <f>AND(#REF!,"AAAAAH9v9IQ=")</f>
        <v>#REF!</v>
      </c>
      <c r="ED18" t="e">
        <f>AND(#REF!,"AAAAAH9v9IU=")</f>
        <v>#REF!</v>
      </c>
      <c r="EE18" t="e">
        <f>AND(#REF!,"AAAAAH9v9IY=")</f>
        <v>#REF!</v>
      </c>
      <c r="EF18" t="e">
        <f>AND(#REF!,"AAAAAH9v9Ic=")</f>
        <v>#REF!</v>
      </c>
      <c r="EG18" t="e">
        <f>IF(#REF!,"AAAAAH9v9Ig=",0)</f>
        <v>#REF!</v>
      </c>
      <c r="EH18" t="e">
        <f>AND(#REF!,"AAAAAH9v9Ik=")</f>
        <v>#REF!</v>
      </c>
      <c r="EI18" t="e">
        <f>AND(#REF!,"AAAAAH9v9Io=")</f>
        <v>#REF!</v>
      </c>
      <c r="EJ18" t="e">
        <f>AND(#REF!,"AAAAAH9v9Is=")</f>
        <v>#REF!</v>
      </c>
      <c r="EK18" t="e">
        <f>AND(#REF!,"AAAAAH9v9Iw=")</f>
        <v>#REF!</v>
      </c>
      <c r="EL18" t="e">
        <f>AND(#REF!,"AAAAAH9v9I0=")</f>
        <v>#REF!</v>
      </c>
      <c r="EM18" t="e">
        <f>AND(#REF!,"AAAAAH9v9I4=")</f>
        <v>#REF!</v>
      </c>
      <c r="EN18" t="e">
        <f>AND(#REF!,"AAAAAH9v9I8=")</f>
        <v>#REF!</v>
      </c>
      <c r="EO18" t="e">
        <f>AND(#REF!,"AAAAAH9v9JA=")</f>
        <v>#REF!</v>
      </c>
      <c r="EP18" t="e">
        <f>AND(#REF!,"AAAAAH9v9JE=")</f>
        <v>#REF!</v>
      </c>
      <c r="EQ18" t="e">
        <f>AND(#REF!,"AAAAAH9v9JI=")</f>
        <v>#REF!</v>
      </c>
      <c r="ER18" t="e">
        <f>AND(#REF!,"AAAAAH9v9JM=")</f>
        <v>#REF!</v>
      </c>
      <c r="ES18" t="e">
        <f>AND(#REF!,"AAAAAH9v9JQ=")</f>
        <v>#REF!</v>
      </c>
      <c r="ET18" t="e">
        <f>IF(#REF!,"AAAAAH9v9JU=",0)</f>
        <v>#REF!</v>
      </c>
      <c r="EU18" t="e">
        <f>AND(#REF!,"AAAAAH9v9JY=")</f>
        <v>#REF!</v>
      </c>
      <c r="EV18" t="e">
        <f>AND(#REF!,"AAAAAH9v9Jc=")</f>
        <v>#REF!</v>
      </c>
      <c r="EW18" t="e">
        <f>AND(#REF!,"AAAAAH9v9Jg=")</f>
        <v>#REF!</v>
      </c>
      <c r="EX18" t="e">
        <f>AND(#REF!,"AAAAAH9v9Jk=")</f>
        <v>#REF!</v>
      </c>
      <c r="EY18" t="e">
        <f>AND(#REF!,"AAAAAH9v9Jo=")</f>
        <v>#REF!</v>
      </c>
      <c r="EZ18" t="e">
        <f>AND(#REF!,"AAAAAH9v9Js=")</f>
        <v>#REF!</v>
      </c>
      <c r="FA18" t="e">
        <f>AND(#REF!,"AAAAAH9v9Jw=")</f>
        <v>#REF!</v>
      </c>
      <c r="FB18" t="e">
        <f>AND(#REF!,"AAAAAH9v9J0=")</f>
        <v>#REF!</v>
      </c>
      <c r="FC18" t="e">
        <f>AND(#REF!,"AAAAAH9v9J4=")</f>
        <v>#REF!</v>
      </c>
      <c r="FD18" t="e">
        <f>AND(#REF!,"AAAAAH9v9J8=")</f>
        <v>#REF!</v>
      </c>
      <c r="FE18" t="e">
        <f>AND(#REF!,"AAAAAH9v9KA=")</f>
        <v>#REF!</v>
      </c>
      <c r="FF18" t="e">
        <f>AND(#REF!,"AAAAAH9v9KE=")</f>
        <v>#REF!</v>
      </c>
      <c r="FG18" t="e">
        <f>IF(#REF!,"AAAAAH9v9KI=",0)</f>
        <v>#REF!</v>
      </c>
      <c r="FH18" t="e">
        <f>AND(#REF!,"AAAAAH9v9KM=")</f>
        <v>#REF!</v>
      </c>
      <c r="FI18" t="e">
        <f>AND(#REF!,"AAAAAH9v9KQ=")</f>
        <v>#REF!</v>
      </c>
      <c r="FJ18" t="e">
        <f>AND(#REF!,"AAAAAH9v9KU=")</f>
        <v>#REF!</v>
      </c>
      <c r="FK18" t="e">
        <f>AND(#REF!,"AAAAAH9v9KY=")</f>
        <v>#REF!</v>
      </c>
      <c r="FL18" t="e">
        <f>AND(#REF!,"AAAAAH9v9Kc=")</f>
        <v>#REF!</v>
      </c>
      <c r="FM18" t="e">
        <f>AND(#REF!,"AAAAAH9v9Kg=")</f>
        <v>#REF!</v>
      </c>
      <c r="FN18" t="e">
        <f>AND(#REF!,"AAAAAH9v9Kk=")</f>
        <v>#REF!</v>
      </c>
      <c r="FO18" t="e">
        <f>AND(#REF!,"AAAAAH9v9Ko=")</f>
        <v>#REF!</v>
      </c>
      <c r="FP18" t="e">
        <f>AND(#REF!,"AAAAAH9v9Ks=")</f>
        <v>#REF!</v>
      </c>
      <c r="FQ18" t="e">
        <f>AND(#REF!,"AAAAAH9v9Kw=")</f>
        <v>#REF!</v>
      </c>
      <c r="FR18" t="e">
        <f>AND(#REF!,"AAAAAH9v9K0=")</f>
        <v>#REF!</v>
      </c>
      <c r="FS18" t="e">
        <f>AND(#REF!,"AAAAAH9v9K4=")</f>
        <v>#REF!</v>
      </c>
      <c r="FT18" t="e">
        <f>IF(#REF!,"AAAAAH9v9K8=",0)</f>
        <v>#REF!</v>
      </c>
      <c r="FU18" t="e">
        <f>AND(#REF!,"AAAAAH9v9LA=")</f>
        <v>#REF!</v>
      </c>
      <c r="FV18" t="e">
        <f>AND(#REF!,"AAAAAH9v9LE=")</f>
        <v>#REF!</v>
      </c>
      <c r="FW18" t="e">
        <f>AND(#REF!,"AAAAAH9v9LI=")</f>
        <v>#REF!</v>
      </c>
      <c r="FX18" t="e">
        <f>AND(#REF!,"AAAAAH9v9LM=")</f>
        <v>#REF!</v>
      </c>
      <c r="FY18" t="e">
        <f>AND(#REF!,"AAAAAH9v9LQ=")</f>
        <v>#REF!</v>
      </c>
      <c r="FZ18" t="e">
        <f>AND(#REF!,"AAAAAH9v9LU=")</f>
        <v>#REF!</v>
      </c>
      <c r="GA18" t="e">
        <f>AND(#REF!,"AAAAAH9v9LY=")</f>
        <v>#REF!</v>
      </c>
      <c r="GB18" t="e">
        <f>AND(#REF!,"AAAAAH9v9Lc=")</f>
        <v>#REF!</v>
      </c>
      <c r="GC18" t="e">
        <f>AND(#REF!,"AAAAAH9v9Lg=")</f>
        <v>#REF!</v>
      </c>
      <c r="GD18" t="e">
        <f>AND(#REF!,"AAAAAH9v9Lk=")</f>
        <v>#REF!</v>
      </c>
      <c r="GE18" t="e">
        <f>AND(#REF!,"AAAAAH9v9Lo=")</f>
        <v>#REF!</v>
      </c>
      <c r="GF18" t="e">
        <f>AND(#REF!,"AAAAAH9v9Ls=")</f>
        <v>#REF!</v>
      </c>
      <c r="GG18" t="e">
        <f>IF(#REF!,"AAAAAH9v9Lw=",0)</f>
        <v>#REF!</v>
      </c>
      <c r="GH18" t="e">
        <f>AND(#REF!,"AAAAAH9v9L0=")</f>
        <v>#REF!</v>
      </c>
      <c r="GI18" t="e">
        <f>AND(#REF!,"AAAAAH9v9L4=")</f>
        <v>#REF!</v>
      </c>
      <c r="GJ18" t="e">
        <f>AND(#REF!,"AAAAAH9v9L8=")</f>
        <v>#REF!</v>
      </c>
      <c r="GK18" t="e">
        <f>AND(#REF!,"AAAAAH9v9MA=")</f>
        <v>#REF!</v>
      </c>
      <c r="GL18" t="e">
        <f>AND(#REF!,"AAAAAH9v9ME=")</f>
        <v>#REF!</v>
      </c>
      <c r="GM18" t="e">
        <f>AND(#REF!,"AAAAAH9v9MI=")</f>
        <v>#REF!</v>
      </c>
      <c r="GN18" t="e">
        <f>AND(#REF!,"AAAAAH9v9MM=")</f>
        <v>#REF!</v>
      </c>
      <c r="GO18" t="e">
        <f>AND(#REF!,"AAAAAH9v9MQ=")</f>
        <v>#REF!</v>
      </c>
      <c r="GP18" t="e">
        <f>AND(#REF!,"AAAAAH9v9MU=")</f>
        <v>#REF!</v>
      </c>
      <c r="GQ18" t="e">
        <f>AND(#REF!,"AAAAAH9v9MY=")</f>
        <v>#REF!</v>
      </c>
      <c r="GR18" t="e">
        <f>AND(#REF!,"AAAAAH9v9Mc=")</f>
        <v>#REF!</v>
      </c>
      <c r="GS18" t="e">
        <f>AND(#REF!,"AAAAAH9v9Mg=")</f>
        <v>#REF!</v>
      </c>
      <c r="GT18" t="e">
        <f>IF(#REF!,"AAAAAH9v9Mk=",0)</f>
        <v>#REF!</v>
      </c>
      <c r="GU18" t="e">
        <f>AND(#REF!,"AAAAAH9v9Mo=")</f>
        <v>#REF!</v>
      </c>
      <c r="GV18" t="e">
        <f>AND(#REF!,"AAAAAH9v9Ms=")</f>
        <v>#REF!</v>
      </c>
      <c r="GW18" t="e">
        <f>AND(#REF!,"AAAAAH9v9Mw=")</f>
        <v>#REF!</v>
      </c>
      <c r="GX18" t="e">
        <f>AND(#REF!,"AAAAAH9v9M0=")</f>
        <v>#REF!</v>
      </c>
      <c r="GY18" t="e">
        <f>AND(#REF!,"AAAAAH9v9M4=")</f>
        <v>#REF!</v>
      </c>
      <c r="GZ18" t="e">
        <f>AND(#REF!,"AAAAAH9v9M8=")</f>
        <v>#REF!</v>
      </c>
      <c r="HA18" t="e">
        <f>AND(#REF!,"AAAAAH9v9NA=")</f>
        <v>#REF!</v>
      </c>
      <c r="HB18" t="e">
        <f>AND(#REF!,"AAAAAH9v9NE=")</f>
        <v>#REF!</v>
      </c>
      <c r="HC18" t="e">
        <f>AND(#REF!,"AAAAAH9v9NI=")</f>
        <v>#REF!</v>
      </c>
      <c r="HD18" t="e">
        <f>AND(#REF!,"AAAAAH9v9NM=")</f>
        <v>#REF!</v>
      </c>
      <c r="HE18" t="e">
        <f>AND(#REF!,"AAAAAH9v9NQ=")</f>
        <v>#REF!</v>
      </c>
      <c r="HF18" t="e">
        <f>AND(#REF!,"AAAAAH9v9NU=")</f>
        <v>#REF!</v>
      </c>
      <c r="HG18" t="e">
        <f>IF(#REF!,"AAAAAH9v9NY=",0)</f>
        <v>#REF!</v>
      </c>
      <c r="HH18" t="e">
        <f>AND(#REF!,"AAAAAH9v9Nc=")</f>
        <v>#REF!</v>
      </c>
      <c r="HI18" t="e">
        <f>AND(#REF!,"AAAAAH9v9Ng=")</f>
        <v>#REF!</v>
      </c>
      <c r="HJ18" t="e">
        <f>AND(#REF!,"AAAAAH9v9Nk=")</f>
        <v>#REF!</v>
      </c>
      <c r="HK18" t="e">
        <f>AND(#REF!,"AAAAAH9v9No=")</f>
        <v>#REF!</v>
      </c>
      <c r="HL18" t="e">
        <f>AND(#REF!,"AAAAAH9v9Ns=")</f>
        <v>#REF!</v>
      </c>
      <c r="HM18" t="e">
        <f>AND(#REF!,"AAAAAH9v9Nw=")</f>
        <v>#REF!</v>
      </c>
      <c r="HN18" t="e">
        <f>AND(#REF!,"AAAAAH9v9N0=")</f>
        <v>#REF!</v>
      </c>
      <c r="HO18" t="e">
        <f>AND(#REF!,"AAAAAH9v9N4=")</f>
        <v>#REF!</v>
      </c>
      <c r="HP18" t="e">
        <f>AND(#REF!,"AAAAAH9v9N8=")</f>
        <v>#REF!</v>
      </c>
      <c r="HQ18" t="e">
        <f>AND(#REF!,"AAAAAH9v9OA=")</f>
        <v>#REF!</v>
      </c>
      <c r="HR18" t="e">
        <f>AND(#REF!,"AAAAAH9v9OE=")</f>
        <v>#REF!</v>
      </c>
      <c r="HS18" t="e">
        <f>AND(#REF!,"AAAAAH9v9OI=")</f>
        <v>#REF!</v>
      </c>
      <c r="HT18" t="e">
        <f>IF(#REF!,"AAAAAH9v9OM=",0)</f>
        <v>#REF!</v>
      </c>
      <c r="HU18" t="e">
        <f>AND(#REF!,"AAAAAH9v9OQ=")</f>
        <v>#REF!</v>
      </c>
      <c r="HV18" t="e">
        <f>AND(#REF!,"AAAAAH9v9OU=")</f>
        <v>#REF!</v>
      </c>
      <c r="HW18" t="e">
        <f>AND(#REF!,"AAAAAH9v9OY=")</f>
        <v>#REF!</v>
      </c>
      <c r="HX18" t="e">
        <f>AND(#REF!,"AAAAAH9v9Oc=")</f>
        <v>#REF!</v>
      </c>
      <c r="HY18" t="e">
        <f>AND(#REF!,"AAAAAH9v9Og=")</f>
        <v>#REF!</v>
      </c>
      <c r="HZ18" t="e">
        <f>AND(#REF!,"AAAAAH9v9Ok=")</f>
        <v>#REF!</v>
      </c>
      <c r="IA18" t="e">
        <f>AND(#REF!,"AAAAAH9v9Oo=")</f>
        <v>#REF!</v>
      </c>
      <c r="IB18" t="e">
        <f>AND(#REF!,"AAAAAH9v9Os=")</f>
        <v>#REF!</v>
      </c>
      <c r="IC18" t="e">
        <f>AND(#REF!,"AAAAAH9v9Ow=")</f>
        <v>#REF!</v>
      </c>
      <c r="ID18" t="e">
        <f>AND(#REF!,"AAAAAH9v9O0=")</f>
        <v>#REF!</v>
      </c>
      <c r="IE18" t="e">
        <f>AND(#REF!,"AAAAAH9v9O4=")</f>
        <v>#REF!</v>
      </c>
      <c r="IF18" t="e">
        <f>AND(#REF!,"AAAAAH9v9O8=")</f>
        <v>#REF!</v>
      </c>
      <c r="IG18" t="e">
        <f>IF(#REF!,"AAAAAH9v9PA=",0)</f>
        <v>#REF!</v>
      </c>
      <c r="IH18" t="e">
        <f>AND(#REF!,"AAAAAH9v9PE=")</f>
        <v>#REF!</v>
      </c>
      <c r="II18" t="e">
        <f>AND(#REF!,"AAAAAH9v9PI=")</f>
        <v>#REF!</v>
      </c>
      <c r="IJ18" t="e">
        <f>AND(#REF!,"AAAAAH9v9PM=")</f>
        <v>#REF!</v>
      </c>
      <c r="IK18" t="e">
        <f>AND(#REF!,"AAAAAH9v9PQ=")</f>
        <v>#REF!</v>
      </c>
      <c r="IL18" t="e">
        <f>AND(#REF!,"AAAAAH9v9PU=")</f>
        <v>#REF!</v>
      </c>
      <c r="IM18" t="e">
        <f>AND(#REF!,"AAAAAH9v9PY=")</f>
        <v>#REF!</v>
      </c>
      <c r="IN18" t="e">
        <f>AND(#REF!,"AAAAAH9v9Pc=")</f>
        <v>#REF!</v>
      </c>
      <c r="IO18" t="e">
        <f>AND(#REF!,"AAAAAH9v9Pg=")</f>
        <v>#REF!</v>
      </c>
      <c r="IP18" t="e">
        <f>AND(#REF!,"AAAAAH9v9Pk=")</f>
        <v>#REF!</v>
      </c>
      <c r="IQ18" t="e">
        <f>AND(#REF!,"AAAAAH9v9Po=")</f>
        <v>#REF!</v>
      </c>
      <c r="IR18" t="e">
        <f>AND(#REF!,"AAAAAH9v9Ps=")</f>
        <v>#REF!</v>
      </c>
      <c r="IS18" t="e">
        <f>AND(#REF!,"AAAAAH9v9Pw=")</f>
        <v>#REF!</v>
      </c>
      <c r="IT18" t="e">
        <f>IF(#REF!,"AAAAAH9v9P0=",0)</f>
        <v>#REF!</v>
      </c>
      <c r="IU18" t="e">
        <f>AND(#REF!,"AAAAAH9v9P4=")</f>
        <v>#REF!</v>
      </c>
      <c r="IV18" t="e">
        <f>AND(#REF!,"AAAAAH9v9P8=")</f>
        <v>#REF!</v>
      </c>
    </row>
    <row r="19" spans="1:256">
      <c r="A19" t="e">
        <f>AND(#REF!,"AAAAAHz//AA=")</f>
        <v>#REF!</v>
      </c>
      <c r="B19" t="e">
        <f>AND(#REF!,"AAAAAHz//AE=")</f>
        <v>#REF!</v>
      </c>
      <c r="C19" t="e">
        <f>AND(#REF!,"AAAAAHz//AI=")</f>
        <v>#REF!</v>
      </c>
      <c r="D19" t="e">
        <f>AND(#REF!,"AAAAAHz//AM=")</f>
        <v>#REF!</v>
      </c>
      <c r="E19" t="e">
        <f>AND(#REF!,"AAAAAHz//AQ=")</f>
        <v>#REF!</v>
      </c>
      <c r="F19" t="e">
        <f>AND(#REF!,"AAAAAHz//AU=")</f>
        <v>#REF!</v>
      </c>
      <c r="G19" t="e">
        <f>AND(#REF!,"AAAAAHz//AY=")</f>
        <v>#REF!</v>
      </c>
      <c r="H19" t="e">
        <f>AND(#REF!,"AAAAAHz//Ac=")</f>
        <v>#REF!</v>
      </c>
      <c r="I19" t="e">
        <f>AND(#REF!,"AAAAAHz//Ag=")</f>
        <v>#REF!</v>
      </c>
      <c r="J19" t="e">
        <f>AND(#REF!,"AAAAAHz//Ak=")</f>
        <v>#REF!</v>
      </c>
      <c r="K19" t="e">
        <f>IF(#REF!,"AAAAAHz//Ao=",0)</f>
        <v>#REF!</v>
      </c>
      <c r="L19" t="e">
        <f>AND(#REF!,"AAAAAHz//As=")</f>
        <v>#REF!</v>
      </c>
      <c r="M19" t="e">
        <f>AND(#REF!,"AAAAAHz//Aw=")</f>
        <v>#REF!</v>
      </c>
      <c r="N19" t="e">
        <f>AND(#REF!,"AAAAAHz//A0=")</f>
        <v>#REF!</v>
      </c>
      <c r="O19" t="e">
        <f>AND(#REF!,"AAAAAHz//A4=")</f>
        <v>#REF!</v>
      </c>
      <c r="P19" t="e">
        <f>AND(#REF!,"AAAAAHz//A8=")</f>
        <v>#REF!</v>
      </c>
      <c r="Q19" t="e">
        <f>AND(#REF!,"AAAAAHz//BA=")</f>
        <v>#REF!</v>
      </c>
      <c r="R19" t="e">
        <f>AND(#REF!,"AAAAAHz//BE=")</f>
        <v>#REF!</v>
      </c>
      <c r="S19" t="e">
        <f>AND(#REF!,"AAAAAHz//BI=")</f>
        <v>#REF!</v>
      </c>
      <c r="T19" t="e">
        <f>AND(#REF!,"AAAAAHz//BM=")</f>
        <v>#REF!</v>
      </c>
      <c r="U19" t="e">
        <f>AND(#REF!,"AAAAAHz//BQ=")</f>
        <v>#REF!</v>
      </c>
      <c r="V19" t="e">
        <f>AND(#REF!,"AAAAAHz//BU=")</f>
        <v>#REF!</v>
      </c>
      <c r="W19" t="e">
        <f>AND(#REF!,"AAAAAHz//BY=")</f>
        <v>#REF!</v>
      </c>
      <c r="X19" t="e">
        <f>IF(#REF!,"AAAAAHz//Bc=",0)</f>
        <v>#REF!</v>
      </c>
      <c r="Y19" t="e">
        <f>AND(#REF!,"AAAAAHz//Bg=")</f>
        <v>#REF!</v>
      </c>
      <c r="Z19" t="e">
        <f>AND(#REF!,"AAAAAHz//Bk=")</f>
        <v>#REF!</v>
      </c>
      <c r="AA19" t="e">
        <f>AND(#REF!,"AAAAAHz//Bo=")</f>
        <v>#REF!</v>
      </c>
      <c r="AB19" t="e">
        <f>AND(#REF!,"AAAAAHz//Bs=")</f>
        <v>#REF!</v>
      </c>
      <c r="AC19" t="e">
        <f>AND(#REF!,"AAAAAHz//Bw=")</f>
        <v>#REF!</v>
      </c>
      <c r="AD19" t="e">
        <f>AND(#REF!,"AAAAAHz//B0=")</f>
        <v>#REF!</v>
      </c>
      <c r="AE19" t="e">
        <f>AND(#REF!,"AAAAAHz//B4=")</f>
        <v>#REF!</v>
      </c>
      <c r="AF19" t="e">
        <f>AND(#REF!,"AAAAAHz//B8=")</f>
        <v>#REF!</v>
      </c>
      <c r="AG19" t="e">
        <f>AND(#REF!,"AAAAAHz//CA=")</f>
        <v>#REF!</v>
      </c>
      <c r="AH19" t="e">
        <f>AND(#REF!,"AAAAAHz//CE=")</f>
        <v>#REF!</v>
      </c>
      <c r="AI19" t="e">
        <f>AND(#REF!,"AAAAAHz//CI=")</f>
        <v>#REF!</v>
      </c>
      <c r="AJ19" t="e">
        <f>AND(#REF!,"AAAAAHz//CM=")</f>
        <v>#REF!</v>
      </c>
      <c r="AK19" t="e">
        <f>IF(#REF!,"AAAAAHz//CQ=",0)</f>
        <v>#REF!</v>
      </c>
      <c r="AL19" t="e">
        <f>AND(#REF!,"AAAAAHz//CU=")</f>
        <v>#REF!</v>
      </c>
      <c r="AM19" t="e">
        <f>AND(#REF!,"AAAAAHz//CY=")</f>
        <v>#REF!</v>
      </c>
      <c r="AN19" t="e">
        <f>AND(#REF!,"AAAAAHz//Cc=")</f>
        <v>#REF!</v>
      </c>
      <c r="AO19" t="e">
        <f>AND(#REF!,"AAAAAHz//Cg=")</f>
        <v>#REF!</v>
      </c>
      <c r="AP19" t="e">
        <f>AND(#REF!,"AAAAAHz//Ck=")</f>
        <v>#REF!</v>
      </c>
      <c r="AQ19" t="e">
        <f>AND(#REF!,"AAAAAHz//Co=")</f>
        <v>#REF!</v>
      </c>
      <c r="AR19" t="e">
        <f>AND(#REF!,"AAAAAHz//Cs=")</f>
        <v>#REF!</v>
      </c>
      <c r="AS19" t="e">
        <f>AND(#REF!,"AAAAAHz//Cw=")</f>
        <v>#REF!</v>
      </c>
      <c r="AT19" t="e">
        <f>AND(#REF!,"AAAAAHz//C0=")</f>
        <v>#REF!</v>
      </c>
      <c r="AU19" t="e">
        <f>AND(#REF!,"AAAAAHz//C4=")</f>
        <v>#REF!</v>
      </c>
      <c r="AV19" t="e">
        <f>AND(#REF!,"AAAAAHz//C8=")</f>
        <v>#REF!</v>
      </c>
      <c r="AW19" t="e">
        <f>AND(#REF!,"AAAAAHz//DA=")</f>
        <v>#REF!</v>
      </c>
      <c r="AX19" t="e">
        <f>IF(#REF!,"AAAAAHz//DE=",0)</f>
        <v>#REF!</v>
      </c>
      <c r="AY19" t="e">
        <f>AND(#REF!,"AAAAAHz//DI=")</f>
        <v>#REF!</v>
      </c>
      <c r="AZ19" t="e">
        <f>AND(#REF!,"AAAAAHz//DM=")</f>
        <v>#REF!</v>
      </c>
      <c r="BA19" t="e">
        <f>AND(#REF!,"AAAAAHz//DQ=")</f>
        <v>#REF!</v>
      </c>
      <c r="BB19" t="e">
        <f>AND(#REF!,"AAAAAHz//DU=")</f>
        <v>#REF!</v>
      </c>
      <c r="BC19" t="e">
        <f>AND(#REF!,"AAAAAHz//DY=")</f>
        <v>#REF!</v>
      </c>
      <c r="BD19" t="e">
        <f>AND(#REF!,"AAAAAHz//Dc=")</f>
        <v>#REF!</v>
      </c>
      <c r="BE19" t="e">
        <f>AND(#REF!,"AAAAAHz//Dg=")</f>
        <v>#REF!</v>
      </c>
      <c r="BF19" t="e">
        <f>AND(#REF!,"AAAAAHz//Dk=")</f>
        <v>#REF!</v>
      </c>
      <c r="BG19" t="e">
        <f>AND(#REF!,"AAAAAHz//Do=")</f>
        <v>#REF!</v>
      </c>
      <c r="BH19" t="e">
        <f>AND(#REF!,"AAAAAHz//Ds=")</f>
        <v>#REF!</v>
      </c>
      <c r="BI19" t="e">
        <f>AND(#REF!,"AAAAAHz//Dw=")</f>
        <v>#REF!</v>
      </c>
      <c r="BJ19" t="e">
        <f>AND(#REF!,"AAAAAHz//D0=")</f>
        <v>#REF!</v>
      </c>
      <c r="BK19" t="e">
        <f>IF(#REF!,"AAAAAHz//D4=",0)</f>
        <v>#REF!</v>
      </c>
      <c r="BL19" t="e">
        <f>AND(#REF!,"AAAAAHz//D8=")</f>
        <v>#REF!</v>
      </c>
      <c r="BM19" t="e">
        <f>AND(#REF!,"AAAAAHz//EA=")</f>
        <v>#REF!</v>
      </c>
      <c r="BN19" t="e">
        <f>AND(#REF!,"AAAAAHz//EE=")</f>
        <v>#REF!</v>
      </c>
      <c r="BO19" t="e">
        <f>AND(#REF!,"AAAAAHz//EI=")</f>
        <v>#REF!</v>
      </c>
      <c r="BP19" t="e">
        <f>AND(#REF!,"AAAAAHz//EM=")</f>
        <v>#REF!</v>
      </c>
      <c r="BQ19" t="e">
        <f>AND(#REF!,"AAAAAHz//EQ=")</f>
        <v>#REF!</v>
      </c>
      <c r="BR19" t="e">
        <f>AND(#REF!,"AAAAAHz//EU=")</f>
        <v>#REF!</v>
      </c>
      <c r="BS19" t="e">
        <f>AND(#REF!,"AAAAAHz//EY=")</f>
        <v>#REF!</v>
      </c>
      <c r="BT19" t="e">
        <f>AND(#REF!,"AAAAAHz//Ec=")</f>
        <v>#REF!</v>
      </c>
      <c r="BU19" t="e">
        <f>AND(#REF!,"AAAAAHz//Eg=")</f>
        <v>#REF!</v>
      </c>
      <c r="BV19" t="e">
        <f>AND(#REF!,"AAAAAHz//Ek=")</f>
        <v>#REF!</v>
      </c>
      <c r="BW19" t="e">
        <f>AND(#REF!,"AAAAAHz//Eo=")</f>
        <v>#REF!</v>
      </c>
      <c r="BX19" t="e">
        <f>IF(#REF!,"AAAAAHz//Es=",0)</f>
        <v>#REF!</v>
      </c>
      <c r="BY19" t="e">
        <f>AND(#REF!,"AAAAAHz//Ew=")</f>
        <v>#REF!</v>
      </c>
      <c r="BZ19" t="e">
        <f>AND(#REF!,"AAAAAHz//E0=")</f>
        <v>#REF!</v>
      </c>
      <c r="CA19" t="e">
        <f>AND(#REF!,"AAAAAHz//E4=")</f>
        <v>#REF!</v>
      </c>
      <c r="CB19" t="e">
        <f>AND(#REF!,"AAAAAHz//E8=")</f>
        <v>#REF!</v>
      </c>
      <c r="CC19" t="e">
        <f>AND(#REF!,"AAAAAHz//FA=")</f>
        <v>#REF!</v>
      </c>
      <c r="CD19" t="e">
        <f>AND(#REF!,"AAAAAHz//FE=")</f>
        <v>#REF!</v>
      </c>
      <c r="CE19" t="e">
        <f>AND(#REF!,"AAAAAHz//FI=")</f>
        <v>#REF!</v>
      </c>
      <c r="CF19" t="e">
        <f>AND(#REF!,"AAAAAHz//FM=")</f>
        <v>#REF!</v>
      </c>
      <c r="CG19" t="e">
        <f>AND(#REF!,"AAAAAHz//FQ=")</f>
        <v>#REF!</v>
      </c>
      <c r="CH19" t="e">
        <f>AND(#REF!,"AAAAAHz//FU=")</f>
        <v>#REF!</v>
      </c>
      <c r="CI19" t="e">
        <f>AND(#REF!,"AAAAAHz//FY=")</f>
        <v>#REF!</v>
      </c>
      <c r="CJ19" t="e">
        <f>AND(#REF!,"AAAAAHz//Fc=")</f>
        <v>#REF!</v>
      </c>
      <c r="CK19" t="e">
        <f>IF(#REF!,"AAAAAHz//Fg=",0)</f>
        <v>#REF!</v>
      </c>
      <c r="CL19" t="e">
        <f>AND(#REF!,"AAAAAHz//Fk=")</f>
        <v>#REF!</v>
      </c>
      <c r="CM19" t="e">
        <f>AND(#REF!,"AAAAAHz//Fo=")</f>
        <v>#REF!</v>
      </c>
      <c r="CN19" t="e">
        <f>AND(#REF!,"AAAAAHz//Fs=")</f>
        <v>#REF!</v>
      </c>
      <c r="CO19" t="e">
        <f>AND(#REF!,"AAAAAHz//Fw=")</f>
        <v>#REF!</v>
      </c>
      <c r="CP19" t="e">
        <f>AND(#REF!,"AAAAAHz//F0=")</f>
        <v>#REF!</v>
      </c>
      <c r="CQ19" t="e">
        <f>AND(#REF!,"AAAAAHz//F4=")</f>
        <v>#REF!</v>
      </c>
      <c r="CR19" t="e">
        <f>AND(#REF!,"AAAAAHz//F8=")</f>
        <v>#REF!</v>
      </c>
      <c r="CS19" t="e">
        <f>AND(#REF!,"AAAAAHz//GA=")</f>
        <v>#REF!</v>
      </c>
      <c r="CT19" t="e">
        <f>AND(#REF!,"AAAAAHz//GE=")</f>
        <v>#REF!</v>
      </c>
      <c r="CU19" t="e">
        <f>AND(#REF!,"AAAAAHz//GI=")</f>
        <v>#REF!</v>
      </c>
      <c r="CV19" t="e">
        <f>AND(#REF!,"AAAAAHz//GM=")</f>
        <v>#REF!</v>
      </c>
      <c r="CW19" t="e">
        <f>AND(#REF!,"AAAAAHz//GQ=")</f>
        <v>#REF!</v>
      </c>
      <c r="CX19" t="e">
        <f>IF(#REF!,"AAAAAHz//GU=",0)</f>
        <v>#REF!</v>
      </c>
      <c r="CY19" t="e">
        <f>AND(#REF!,"AAAAAHz//GY=")</f>
        <v>#REF!</v>
      </c>
      <c r="CZ19" t="e">
        <f>AND(#REF!,"AAAAAHz//Gc=")</f>
        <v>#REF!</v>
      </c>
      <c r="DA19" t="e">
        <f>AND(#REF!,"AAAAAHz//Gg=")</f>
        <v>#REF!</v>
      </c>
      <c r="DB19" t="e">
        <f>AND(#REF!,"AAAAAHz//Gk=")</f>
        <v>#REF!</v>
      </c>
      <c r="DC19" t="e">
        <f>AND(#REF!,"AAAAAHz//Go=")</f>
        <v>#REF!</v>
      </c>
      <c r="DD19" t="e">
        <f>AND(#REF!,"AAAAAHz//Gs=")</f>
        <v>#REF!</v>
      </c>
      <c r="DE19" t="e">
        <f>AND(#REF!,"AAAAAHz//Gw=")</f>
        <v>#REF!</v>
      </c>
      <c r="DF19" t="e">
        <f>AND(#REF!,"AAAAAHz//G0=")</f>
        <v>#REF!</v>
      </c>
      <c r="DG19" t="e">
        <f>AND(#REF!,"AAAAAHz//G4=")</f>
        <v>#REF!</v>
      </c>
      <c r="DH19" t="e">
        <f>AND(#REF!,"AAAAAHz//G8=")</f>
        <v>#REF!</v>
      </c>
      <c r="DI19" t="e">
        <f>AND(#REF!,"AAAAAHz//HA=")</f>
        <v>#REF!</v>
      </c>
      <c r="DJ19" t="e">
        <f>AND(#REF!,"AAAAAHz//HE=")</f>
        <v>#REF!</v>
      </c>
      <c r="DK19" t="e">
        <f>IF(#REF!,"AAAAAHz//HI=",0)</f>
        <v>#REF!</v>
      </c>
      <c r="DL19" t="e">
        <f>AND(#REF!,"AAAAAHz//HM=")</f>
        <v>#REF!</v>
      </c>
      <c r="DM19" t="e">
        <f>AND(#REF!,"AAAAAHz//HQ=")</f>
        <v>#REF!</v>
      </c>
      <c r="DN19" t="e">
        <f>AND(#REF!,"AAAAAHz//HU=")</f>
        <v>#REF!</v>
      </c>
      <c r="DO19" t="e">
        <f>AND(#REF!,"AAAAAHz//HY=")</f>
        <v>#REF!</v>
      </c>
      <c r="DP19" t="e">
        <f>AND(#REF!,"AAAAAHz//Hc=")</f>
        <v>#REF!</v>
      </c>
      <c r="DQ19" t="e">
        <f>AND(#REF!,"AAAAAHz//Hg=")</f>
        <v>#REF!</v>
      </c>
      <c r="DR19" t="e">
        <f>AND(#REF!,"AAAAAHz//Hk=")</f>
        <v>#REF!</v>
      </c>
      <c r="DS19" t="e">
        <f>AND(#REF!,"AAAAAHz//Ho=")</f>
        <v>#REF!</v>
      </c>
      <c r="DT19" t="e">
        <f>AND(#REF!,"AAAAAHz//Hs=")</f>
        <v>#REF!</v>
      </c>
      <c r="DU19" t="e">
        <f>AND(#REF!,"AAAAAHz//Hw=")</f>
        <v>#REF!</v>
      </c>
      <c r="DV19" t="e">
        <f>AND(#REF!,"AAAAAHz//H0=")</f>
        <v>#REF!</v>
      </c>
      <c r="DW19" t="e">
        <f>AND(#REF!,"AAAAAHz//H4=")</f>
        <v>#REF!</v>
      </c>
      <c r="DX19" t="e">
        <f>IF(#REF!,"AAAAAHz//H8=",0)</f>
        <v>#REF!</v>
      </c>
      <c r="DY19" t="e">
        <f>AND(#REF!,"AAAAAHz//IA=")</f>
        <v>#REF!</v>
      </c>
      <c r="DZ19" t="e">
        <f>AND(#REF!,"AAAAAHz//IE=")</f>
        <v>#REF!</v>
      </c>
      <c r="EA19" t="e">
        <f>AND(#REF!,"AAAAAHz//II=")</f>
        <v>#REF!</v>
      </c>
      <c r="EB19" t="e">
        <f>AND(#REF!,"AAAAAHz//IM=")</f>
        <v>#REF!</v>
      </c>
      <c r="EC19" t="e">
        <f>AND(#REF!,"AAAAAHz//IQ=")</f>
        <v>#REF!</v>
      </c>
      <c r="ED19" t="e">
        <f>AND(#REF!,"AAAAAHz//IU=")</f>
        <v>#REF!</v>
      </c>
      <c r="EE19" t="e">
        <f>AND(#REF!,"AAAAAHz//IY=")</f>
        <v>#REF!</v>
      </c>
      <c r="EF19" t="e">
        <f>AND(#REF!,"AAAAAHz//Ic=")</f>
        <v>#REF!</v>
      </c>
      <c r="EG19" t="e">
        <f>AND(#REF!,"AAAAAHz//Ig=")</f>
        <v>#REF!</v>
      </c>
      <c r="EH19" t="e">
        <f>AND(#REF!,"AAAAAHz//Ik=")</f>
        <v>#REF!</v>
      </c>
      <c r="EI19" t="e">
        <f>AND(#REF!,"AAAAAHz//Io=")</f>
        <v>#REF!</v>
      </c>
      <c r="EJ19" t="e">
        <f>AND(#REF!,"AAAAAHz//Is=")</f>
        <v>#REF!</v>
      </c>
      <c r="EK19" t="e">
        <f>IF(#REF!,"AAAAAHz//Iw=",0)</f>
        <v>#REF!</v>
      </c>
      <c r="EL19" t="e">
        <f>AND(#REF!,"AAAAAHz//I0=")</f>
        <v>#REF!</v>
      </c>
      <c r="EM19" t="e">
        <f>AND(#REF!,"AAAAAHz//I4=")</f>
        <v>#REF!</v>
      </c>
      <c r="EN19" t="e">
        <f>AND(#REF!,"AAAAAHz//I8=")</f>
        <v>#REF!</v>
      </c>
      <c r="EO19" t="e">
        <f>AND(#REF!,"AAAAAHz//JA=")</f>
        <v>#REF!</v>
      </c>
      <c r="EP19" t="e">
        <f>AND(#REF!,"AAAAAHz//JE=")</f>
        <v>#REF!</v>
      </c>
      <c r="EQ19" t="e">
        <f>AND(#REF!,"AAAAAHz//JI=")</f>
        <v>#REF!</v>
      </c>
      <c r="ER19" t="e">
        <f>AND(#REF!,"AAAAAHz//JM=")</f>
        <v>#REF!</v>
      </c>
      <c r="ES19" t="e">
        <f>AND(#REF!,"AAAAAHz//JQ=")</f>
        <v>#REF!</v>
      </c>
      <c r="ET19" t="e">
        <f>AND(#REF!,"AAAAAHz//JU=")</f>
        <v>#REF!</v>
      </c>
      <c r="EU19" t="e">
        <f>AND(#REF!,"AAAAAHz//JY=")</f>
        <v>#REF!</v>
      </c>
      <c r="EV19" t="e">
        <f>AND(#REF!,"AAAAAHz//Jc=")</f>
        <v>#REF!</v>
      </c>
      <c r="EW19" t="e">
        <f>AND(#REF!,"AAAAAHz//Jg=")</f>
        <v>#REF!</v>
      </c>
      <c r="EX19" t="e">
        <f>IF(#REF!,"AAAAAHz//Jk=",0)</f>
        <v>#REF!</v>
      </c>
      <c r="EY19" t="e">
        <f>AND(#REF!,"AAAAAHz//Jo=")</f>
        <v>#REF!</v>
      </c>
      <c r="EZ19" t="e">
        <f>AND(#REF!,"AAAAAHz//Js=")</f>
        <v>#REF!</v>
      </c>
      <c r="FA19" t="e">
        <f>AND(#REF!,"AAAAAHz//Jw=")</f>
        <v>#REF!</v>
      </c>
      <c r="FB19" t="e">
        <f>AND(#REF!,"AAAAAHz//J0=")</f>
        <v>#REF!</v>
      </c>
      <c r="FC19" t="e">
        <f>AND(#REF!,"AAAAAHz//J4=")</f>
        <v>#REF!</v>
      </c>
      <c r="FD19" t="e">
        <f>AND(#REF!,"AAAAAHz//J8=")</f>
        <v>#REF!</v>
      </c>
      <c r="FE19" t="e">
        <f>AND(#REF!,"AAAAAHz//KA=")</f>
        <v>#REF!</v>
      </c>
      <c r="FF19" t="e">
        <f>AND(#REF!,"AAAAAHz//KE=")</f>
        <v>#REF!</v>
      </c>
      <c r="FG19" t="e">
        <f>AND(#REF!,"AAAAAHz//KI=")</f>
        <v>#REF!</v>
      </c>
      <c r="FH19" t="e">
        <f>AND(#REF!,"AAAAAHz//KM=")</f>
        <v>#REF!</v>
      </c>
      <c r="FI19" t="e">
        <f>AND(#REF!,"AAAAAHz//KQ=")</f>
        <v>#REF!</v>
      </c>
      <c r="FJ19" t="e">
        <f>AND(#REF!,"AAAAAHz//KU=")</f>
        <v>#REF!</v>
      </c>
      <c r="FK19" t="e">
        <f>IF(#REF!,"AAAAAHz//KY=",0)</f>
        <v>#REF!</v>
      </c>
      <c r="FL19" t="e">
        <f>AND(#REF!,"AAAAAHz//Kc=")</f>
        <v>#REF!</v>
      </c>
      <c r="FM19" t="e">
        <f>AND(#REF!,"AAAAAHz//Kg=")</f>
        <v>#REF!</v>
      </c>
      <c r="FN19" t="e">
        <f>AND(#REF!,"AAAAAHz//Kk=")</f>
        <v>#REF!</v>
      </c>
      <c r="FO19" t="e">
        <f>AND(#REF!,"AAAAAHz//Ko=")</f>
        <v>#REF!</v>
      </c>
      <c r="FP19" t="e">
        <f>AND(#REF!,"AAAAAHz//Ks=")</f>
        <v>#REF!</v>
      </c>
      <c r="FQ19" t="e">
        <f>AND(#REF!,"AAAAAHz//Kw=")</f>
        <v>#REF!</v>
      </c>
      <c r="FR19" t="e">
        <f>AND(#REF!,"AAAAAHz//K0=")</f>
        <v>#REF!</v>
      </c>
      <c r="FS19" t="e">
        <f>AND(#REF!,"AAAAAHz//K4=")</f>
        <v>#REF!</v>
      </c>
      <c r="FT19" t="e">
        <f>AND(#REF!,"AAAAAHz//K8=")</f>
        <v>#REF!</v>
      </c>
      <c r="FU19" t="e">
        <f>AND(#REF!,"AAAAAHz//LA=")</f>
        <v>#REF!</v>
      </c>
      <c r="FV19" t="e">
        <f>AND(#REF!,"AAAAAHz//LE=")</f>
        <v>#REF!</v>
      </c>
      <c r="FW19" t="e">
        <f>AND(#REF!,"AAAAAHz//LI=")</f>
        <v>#REF!</v>
      </c>
      <c r="FX19" t="e">
        <f>IF(#REF!,"AAAAAHz//LM=",0)</f>
        <v>#REF!</v>
      </c>
      <c r="FY19" t="e">
        <f>AND(#REF!,"AAAAAHz//LQ=")</f>
        <v>#REF!</v>
      </c>
      <c r="FZ19" t="e">
        <f>AND(#REF!,"AAAAAHz//LU=")</f>
        <v>#REF!</v>
      </c>
      <c r="GA19" t="e">
        <f>AND(#REF!,"AAAAAHz//LY=")</f>
        <v>#REF!</v>
      </c>
      <c r="GB19" t="e">
        <f>AND(#REF!,"AAAAAHz//Lc=")</f>
        <v>#REF!</v>
      </c>
      <c r="GC19" t="e">
        <f>AND(#REF!,"AAAAAHz//Lg=")</f>
        <v>#REF!</v>
      </c>
      <c r="GD19" t="e">
        <f>AND(#REF!,"AAAAAHz//Lk=")</f>
        <v>#REF!</v>
      </c>
      <c r="GE19" t="e">
        <f>AND(#REF!,"AAAAAHz//Lo=")</f>
        <v>#REF!</v>
      </c>
      <c r="GF19" t="e">
        <f>AND(#REF!,"AAAAAHz//Ls=")</f>
        <v>#REF!</v>
      </c>
      <c r="GG19" t="e">
        <f>AND(#REF!,"AAAAAHz//Lw=")</f>
        <v>#REF!</v>
      </c>
      <c r="GH19" t="e">
        <f>AND(#REF!,"AAAAAHz//L0=")</f>
        <v>#REF!</v>
      </c>
      <c r="GI19" t="e">
        <f>AND(#REF!,"AAAAAHz//L4=")</f>
        <v>#REF!</v>
      </c>
      <c r="GJ19" t="e">
        <f>AND(#REF!,"AAAAAHz//L8=")</f>
        <v>#REF!</v>
      </c>
      <c r="GK19" t="e">
        <f>IF(#REF!,"AAAAAHz//MA=",0)</f>
        <v>#REF!</v>
      </c>
      <c r="GL19" t="e">
        <f>AND(#REF!,"AAAAAHz//ME=")</f>
        <v>#REF!</v>
      </c>
      <c r="GM19" t="e">
        <f>AND(#REF!,"AAAAAHz//MI=")</f>
        <v>#REF!</v>
      </c>
      <c r="GN19" t="e">
        <f>AND(#REF!,"AAAAAHz//MM=")</f>
        <v>#REF!</v>
      </c>
      <c r="GO19" t="e">
        <f>AND(#REF!,"AAAAAHz//MQ=")</f>
        <v>#REF!</v>
      </c>
      <c r="GP19" t="e">
        <f>AND(#REF!,"AAAAAHz//MU=")</f>
        <v>#REF!</v>
      </c>
      <c r="GQ19" t="e">
        <f>AND(#REF!,"AAAAAHz//MY=")</f>
        <v>#REF!</v>
      </c>
      <c r="GR19" t="e">
        <f>AND(#REF!,"AAAAAHz//Mc=")</f>
        <v>#REF!</v>
      </c>
      <c r="GS19" t="e">
        <f>AND(#REF!,"AAAAAHz//Mg=")</f>
        <v>#REF!</v>
      </c>
      <c r="GT19" t="e">
        <f>AND(#REF!,"AAAAAHz//Mk=")</f>
        <v>#REF!</v>
      </c>
      <c r="GU19" t="e">
        <f>AND(#REF!,"AAAAAHz//Mo=")</f>
        <v>#REF!</v>
      </c>
      <c r="GV19" t="e">
        <f>AND(#REF!,"AAAAAHz//Ms=")</f>
        <v>#REF!</v>
      </c>
      <c r="GW19" t="e">
        <f>AND(#REF!,"AAAAAHz//Mw=")</f>
        <v>#REF!</v>
      </c>
      <c r="GX19" t="e">
        <f>IF(#REF!,"AAAAAHz//M0=",0)</f>
        <v>#REF!</v>
      </c>
      <c r="GY19" t="e">
        <f>AND(#REF!,"AAAAAHz//M4=")</f>
        <v>#REF!</v>
      </c>
      <c r="GZ19" t="e">
        <f>AND(#REF!,"AAAAAHz//M8=")</f>
        <v>#REF!</v>
      </c>
      <c r="HA19" t="e">
        <f>AND(#REF!,"AAAAAHz//NA=")</f>
        <v>#REF!</v>
      </c>
      <c r="HB19" t="e">
        <f>AND(#REF!,"AAAAAHz//NE=")</f>
        <v>#REF!</v>
      </c>
      <c r="HC19" t="e">
        <f>AND(#REF!,"AAAAAHz//NI=")</f>
        <v>#REF!</v>
      </c>
      <c r="HD19" t="e">
        <f>AND(#REF!,"AAAAAHz//NM=")</f>
        <v>#REF!</v>
      </c>
      <c r="HE19" t="e">
        <f>AND(#REF!,"AAAAAHz//NQ=")</f>
        <v>#REF!</v>
      </c>
      <c r="HF19" t="e">
        <f>AND(#REF!,"AAAAAHz//NU=")</f>
        <v>#REF!</v>
      </c>
      <c r="HG19" t="e">
        <f>AND(#REF!,"AAAAAHz//NY=")</f>
        <v>#REF!</v>
      </c>
      <c r="HH19" t="e">
        <f>AND(#REF!,"AAAAAHz//Nc=")</f>
        <v>#REF!</v>
      </c>
      <c r="HI19" t="e">
        <f>AND(#REF!,"AAAAAHz//Ng=")</f>
        <v>#REF!</v>
      </c>
      <c r="HJ19" t="e">
        <f>AND(#REF!,"AAAAAHz//Nk=")</f>
        <v>#REF!</v>
      </c>
      <c r="HK19" t="e">
        <f>IF(#REF!,"AAAAAHz//No=",0)</f>
        <v>#REF!</v>
      </c>
      <c r="HL19" t="e">
        <f>AND(#REF!,"AAAAAHz//Ns=")</f>
        <v>#REF!</v>
      </c>
      <c r="HM19" t="e">
        <f>AND(#REF!,"AAAAAHz//Nw=")</f>
        <v>#REF!</v>
      </c>
      <c r="HN19" t="e">
        <f>AND(#REF!,"AAAAAHz//N0=")</f>
        <v>#REF!</v>
      </c>
      <c r="HO19" t="e">
        <f>AND(#REF!,"AAAAAHz//N4=")</f>
        <v>#REF!</v>
      </c>
      <c r="HP19" t="e">
        <f>AND(#REF!,"AAAAAHz//N8=")</f>
        <v>#REF!</v>
      </c>
      <c r="HQ19" t="e">
        <f>AND(#REF!,"AAAAAHz//OA=")</f>
        <v>#REF!</v>
      </c>
      <c r="HR19" t="e">
        <f>AND(#REF!,"AAAAAHz//OE=")</f>
        <v>#REF!</v>
      </c>
      <c r="HS19" t="e">
        <f>AND(#REF!,"AAAAAHz//OI=")</f>
        <v>#REF!</v>
      </c>
      <c r="HT19" t="e">
        <f>AND(#REF!,"AAAAAHz//OM=")</f>
        <v>#REF!</v>
      </c>
      <c r="HU19" t="e">
        <f>AND(#REF!,"AAAAAHz//OQ=")</f>
        <v>#REF!</v>
      </c>
      <c r="HV19" t="e">
        <f>AND(#REF!,"AAAAAHz//OU=")</f>
        <v>#REF!</v>
      </c>
      <c r="HW19" t="e">
        <f>AND(#REF!,"AAAAAHz//OY=")</f>
        <v>#REF!</v>
      </c>
      <c r="HX19" t="e">
        <f>IF(#REF!,"AAAAAHz//Oc=",0)</f>
        <v>#REF!</v>
      </c>
      <c r="HY19" t="e">
        <f>AND(#REF!,"AAAAAHz//Og=")</f>
        <v>#REF!</v>
      </c>
      <c r="HZ19" t="e">
        <f>AND(#REF!,"AAAAAHz//Ok=")</f>
        <v>#REF!</v>
      </c>
      <c r="IA19" t="e">
        <f>AND(#REF!,"AAAAAHz//Oo=")</f>
        <v>#REF!</v>
      </c>
      <c r="IB19" t="e">
        <f>AND(#REF!,"AAAAAHz//Os=")</f>
        <v>#REF!</v>
      </c>
      <c r="IC19" t="e">
        <f>AND(#REF!,"AAAAAHz//Ow=")</f>
        <v>#REF!</v>
      </c>
      <c r="ID19" t="e">
        <f>AND(#REF!,"AAAAAHz//O0=")</f>
        <v>#REF!</v>
      </c>
      <c r="IE19" t="e">
        <f>AND(#REF!,"AAAAAHz//O4=")</f>
        <v>#REF!</v>
      </c>
      <c r="IF19" t="e">
        <f>AND(#REF!,"AAAAAHz//O8=")</f>
        <v>#REF!</v>
      </c>
      <c r="IG19" t="e">
        <f>AND(#REF!,"AAAAAHz//PA=")</f>
        <v>#REF!</v>
      </c>
      <c r="IH19" t="e">
        <f>AND(#REF!,"AAAAAHz//PE=")</f>
        <v>#REF!</v>
      </c>
      <c r="II19" t="e">
        <f>AND(#REF!,"AAAAAHz//PI=")</f>
        <v>#REF!</v>
      </c>
      <c r="IJ19" t="e">
        <f>AND(#REF!,"AAAAAHz//PM=")</f>
        <v>#REF!</v>
      </c>
      <c r="IK19" t="e">
        <f>IF(#REF!,"AAAAAHz//PQ=",0)</f>
        <v>#REF!</v>
      </c>
      <c r="IL19" t="e">
        <f>AND(#REF!,"AAAAAHz//PU=")</f>
        <v>#REF!</v>
      </c>
      <c r="IM19" t="e">
        <f>AND(#REF!,"AAAAAHz//PY=")</f>
        <v>#REF!</v>
      </c>
      <c r="IN19" t="e">
        <f>AND(#REF!,"AAAAAHz//Pc=")</f>
        <v>#REF!</v>
      </c>
      <c r="IO19" t="e">
        <f>AND(#REF!,"AAAAAHz//Pg=")</f>
        <v>#REF!</v>
      </c>
      <c r="IP19" t="e">
        <f>AND(#REF!,"AAAAAHz//Pk=")</f>
        <v>#REF!</v>
      </c>
      <c r="IQ19" t="e">
        <f>AND(#REF!,"AAAAAHz//Po=")</f>
        <v>#REF!</v>
      </c>
      <c r="IR19" t="e">
        <f>AND(#REF!,"AAAAAHz//Ps=")</f>
        <v>#REF!</v>
      </c>
      <c r="IS19" t="e">
        <f>AND(#REF!,"AAAAAHz//Pw=")</f>
        <v>#REF!</v>
      </c>
      <c r="IT19" t="e">
        <f>AND(#REF!,"AAAAAHz//P0=")</f>
        <v>#REF!</v>
      </c>
      <c r="IU19" t="e">
        <f>AND(#REF!,"AAAAAHz//P4=")</f>
        <v>#REF!</v>
      </c>
      <c r="IV19" t="e">
        <f>AND(#REF!,"AAAAAHz//P8=")</f>
        <v>#REF!</v>
      </c>
    </row>
    <row r="20" spans="1:256">
      <c r="A20" t="e">
        <f>AND(#REF!,"AAAAAHy//wA=")</f>
        <v>#REF!</v>
      </c>
      <c r="B20" t="e">
        <f>IF(#REF!,"AAAAAHy//wE=",0)</f>
        <v>#REF!</v>
      </c>
      <c r="C20" t="e">
        <f>AND(#REF!,"AAAAAHy//wI=")</f>
        <v>#REF!</v>
      </c>
      <c r="D20" t="e">
        <f>AND(#REF!,"AAAAAHy//wM=")</f>
        <v>#REF!</v>
      </c>
      <c r="E20" t="e">
        <f>AND(#REF!,"AAAAAHy//wQ=")</f>
        <v>#REF!</v>
      </c>
      <c r="F20" t="e">
        <f>AND(#REF!,"AAAAAHy//wU=")</f>
        <v>#REF!</v>
      </c>
      <c r="G20" t="e">
        <f>AND(#REF!,"AAAAAHy//wY=")</f>
        <v>#REF!</v>
      </c>
      <c r="H20" t="e">
        <f>AND(#REF!,"AAAAAHy//wc=")</f>
        <v>#REF!</v>
      </c>
      <c r="I20" t="e">
        <f>AND(#REF!,"AAAAAHy//wg=")</f>
        <v>#REF!</v>
      </c>
      <c r="J20" t="e">
        <f>AND(#REF!,"AAAAAHy//wk=")</f>
        <v>#REF!</v>
      </c>
      <c r="K20" t="e">
        <f>AND(#REF!,"AAAAAHy//wo=")</f>
        <v>#REF!</v>
      </c>
      <c r="L20" t="e">
        <f>AND(#REF!,"AAAAAHy//ws=")</f>
        <v>#REF!</v>
      </c>
      <c r="M20" t="e">
        <f>AND(#REF!,"AAAAAHy//ww=")</f>
        <v>#REF!</v>
      </c>
      <c r="N20" t="e">
        <f>AND(#REF!,"AAAAAHy//w0=")</f>
        <v>#REF!</v>
      </c>
      <c r="O20" t="e">
        <f>IF(#REF!,"AAAAAHy//w4=",0)</f>
        <v>#REF!</v>
      </c>
      <c r="P20" t="e">
        <f>AND(#REF!,"AAAAAHy//w8=")</f>
        <v>#REF!</v>
      </c>
      <c r="Q20" t="e">
        <f>AND(#REF!,"AAAAAHy//xA=")</f>
        <v>#REF!</v>
      </c>
      <c r="R20" t="e">
        <f>AND(#REF!,"AAAAAHy//xE=")</f>
        <v>#REF!</v>
      </c>
      <c r="S20" t="e">
        <f>AND(#REF!,"AAAAAHy//xI=")</f>
        <v>#REF!</v>
      </c>
      <c r="T20" t="e">
        <f>AND(#REF!,"AAAAAHy//xM=")</f>
        <v>#REF!</v>
      </c>
      <c r="U20" t="e">
        <f>AND(#REF!,"AAAAAHy//xQ=")</f>
        <v>#REF!</v>
      </c>
      <c r="V20" t="e">
        <f>AND(#REF!,"AAAAAHy//xU=")</f>
        <v>#REF!</v>
      </c>
      <c r="W20" t="e">
        <f>AND(#REF!,"AAAAAHy//xY=")</f>
        <v>#REF!</v>
      </c>
      <c r="X20" t="e">
        <f>AND(#REF!,"AAAAAHy//xc=")</f>
        <v>#REF!</v>
      </c>
      <c r="Y20" t="e">
        <f>AND(#REF!,"AAAAAHy//xg=")</f>
        <v>#REF!</v>
      </c>
      <c r="Z20" t="e">
        <f>AND(#REF!,"AAAAAHy//xk=")</f>
        <v>#REF!</v>
      </c>
      <c r="AA20" t="e">
        <f>AND(#REF!,"AAAAAHy//xo=")</f>
        <v>#REF!</v>
      </c>
      <c r="AB20" t="e">
        <f>IF(#REF!,"AAAAAHy//xs=",0)</f>
        <v>#REF!</v>
      </c>
      <c r="AC20" t="e">
        <f>AND(#REF!,"AAAAAHy//xw=")</f>
        <v>#REF!</v>
      </c>
      <c r="AD20" t="e">
        <f>AND(#REF!,"AAAAAHy//x0=")</f>
        <v>#REF!</v>
      </c>
      <c r="AE20" t="e">
        <f>AND(#REF!,"AAAAAHy//x4=")</f>
        <v>#REF!</v>
      </c>
      <c r="AF20" t="e">
        <f>AND(#REF!,"AAAAAHy//x8=")</f>
        <v>#REF!</v>
      </c>
      <c r="AG20" t="e">
        <f>AND(#REF!,"AAAAAHy//yA=")</f>
        <v>#REF!</v>
      </c>
      <c r="AH20" t="e">
        <f>AND(#REF!,"AAAAAHy//yE=")</f>
        <v>#REF!</v>
      </c>
      <c r="AI20" t="e">
        <f>AND(#REF!,"AAAAAHy//yI=")</f>
        <v>#REF!</v>
      </c>
      <c r="AJ20" t="e">
        <f>AND(#REF!,"AAAAAHy//yM=")</f>
        <v>#REF!</v>
      </c>
      <c r="AK20" t="e">
        <f>AND(#REF!,"AAAAAHy//yQ=")</f>
        <v>#REF!</v>
      </c>
      <c r="AL20" t="e">
        <f>AND(#REF!,"AAAAAHy//yU=")</f>
        <v>#REF!</v>
      </c>
      <c r="AM20" t="e">
        <f>AND(#REF!,"AAAAAHy//yY=")</f>
        <v>#REF!</v>
      </c>
      <c r="AN20" t="e">
        <f>AND(#REF!,"AAAAAHy//yc=")</f>
        <v>#REF!</v>
      </c>
      <c r="AO20" t="e">
        <f>IF(#REF!,"AAAAAHy//yg=",0)</f>
        <v>#REF!</v>
      </c>
      <c r="AP20" t="e">
        <f>AND(#REF!,"AAAAAHy//yk=")</f>
        <v>#REF!</v>
      </c>
      <c r="AQ20" t="e">
        <f>AND(#REF!,"AAAAAHy//yo=")</f>
        <v>#REF!</v>
      </c>
      <c r="AR20" t="e">
        <f>AND(#REF!,"AAAAAHy//ys=")</f>
        <v>#REF!</v>
      </c>
      <c r="AS20" t="e">
        <f>AND(#REF!,"AAAAAHy//yw=")</f>
        <v>#REF!</v>
      </c>
      <c r="AT20" t="e">
        <f>AND(#REF!,"AAAAAHy//y0=")</f>
        <v>#REF!</v>
      </c>
      <c r="AU20" t="e">
        <f>AND(#REF!,"AAAAAHy//y4=")</f>
        <v>#REF!</v>
      </c>
      <c r="AV20" t="e">
        <f>AND(#REF!,"AAAAAHy//y8=")</f>
        <v>#REF!</v>
      </c>
      <c r="AW20" t="e">
        <f>AND(#REF!,"AAAAAHy//zA=")</f>
        <v>#REF!</v>
      </c>
      <c r="AX20" t="e">
        <f>AND(#REF!,"AAAAAHy//zE=")</f>
        <v>#REF!</v>
      </c>
      <c r="AY20" t="e">
        <f>AND(#REF!,"AAAAAHy//zI=")</f>
        <v>#REF!</v>
      </c>
      <c r="AZ20" t="e">
        <f>AND(#REF!,"AAAAAHy//zM=")</f>
        <v>#REF!</v>
      </c>
      <c r="BA20" t="e">
        <f>AND(#REF!,"AAAAAHy//zQ=")</f>
        <v>#REF!</v>
      </c>
      <c r="BB20" t="e">
        <f>IF(#REF!,"AAAAAHy//zU=",0)</f>
        <v>#REF!</v>
      </c>
      <c r="BC20" t="e">
        <f>AND(#REF!,"AAAAAHy//zY=")</f>
        <v>#REF!</v>
      </c>
      <c r="BD20" t="e">
        <f>AND(#REF!,"AAAAAHy//zc=")</f>
        <v>#REF!</v>
      </c>
      <c r="BE20" t="e">
        <f>AND(#REF!,"AAAAAHy//zg=")</f>
        <v>#REF!</v>
      </c>
      <c r="BF20" t="e">
        <f>AND(#REF!,"AAAAAHy//zk=")</f>
        <v>#REF!</v>
      </c>
      <c r="BG20" t="e">
        <f>AND(#REF!,"AAAAAHy//zo=")</f>
        <v>#REF!</v>
      </c>
      <c r="BH20" t="e">
        <f>AND(#REF!,"AAAAAHy//zs=")</f>
        <v>#REF!</v>
      </c>
      <c r="BI20" t="e">
        <f>AND(#REF!,"AAAAAHy//zw=")</f>
        <v>#REF!</v>
      </c>
      <c r="BJ20" t="e">
        <f>AND(#REF!,"AAAAAHy//z0=")</f>
        <v>#REF!</v>
      </c>
      <c r="BK20" t="e">
        <f>AND(#REF!,"AAAAAHy//z4=")</f>
        <v>#REF!</v>
      </c>
      <c r="BL20" t="e">
        <f>AND(#REF!,"AAAAAHy//z8=")</f>
        <v>#REF!</v>
      </c>
      <c r="BM20" t="e">
        <f>AND(#REF!,"AAAAAHy//0A=")</f>
        <v>#REF!</v>
      </c>
      <c r="BN20" t="e">
        <f>AND(#REF!,"AAAAAHy//0E=")</f>
        <v>#REF!</v>
      </c>
      <c r="BO20" t="e">
        <f>IF(#REF!,"AAAAAHy//0I=",0)</f>
        <v>#REF!</v>
      </c>
      <c r="BP20" t="e">
        <f>AND(#REF!,"AAAAAHy//0M=")</f>
        <v>#REF!</v>
      </c>
      <c r="BQ20" t="e">
        <f>AND(#REF!,"AAAAAHy//0Q=")</f>
        <v>#REF!</v>
      </c>
      <c r="BR20" t="e">
        <f>AND(#REF!,"AAAAAHy//0U=")</f>
        <v>#REF!</v>
      </c>
      <c r="BS20" t="e">
        <f>AND(#REF!,"AAAAAHy//0Y=")</f>
        <v>#REF!</v>
      </c>
      <c r="BT20" t="e">
        <f>AND(#REF!,"AAAAAHy//0c=")</f>
        <v>#REF!</v>
      </c>
      <c r="BU20" t="e">
        <f>AND(#REF!,"AAAAAHy//0g=")</f>
        <v>#REF!</v>
      </c>
      <c r="BV20" t="e">
        <f>AND(#REF!,"AAAAAHy//0k=")</f>
        <v>#REF!</v>
      </c>
      <c r="BW20" t="e">
        <f>AND(#REF!,"AAAAAHy//0o=")</f>
        <v>#REF!</v>
      </c>
      <c r="BX20" t="e">
        <f>AND(#REF!,"AAAAAHy//0s=")</f>
        <v>#REF!</v>
      </c>
      <c r="BY20" t="e">
        <f>AND(#REF!,"AAAAAHy//0w=")</f>
        <v>#REF!</v>
      </c>
      <c r="BZ20" t="e">
        <f>AND(#REF!,"AAAAAHy//00=")</f>
        <v>#REF!</v>
      </c>
      <c r="CA20" t="e">
        <f>AND(#REF!,"AAAAAHy//04=")</f>
        <v>#REF!</v>
      </c>
      <c r="CB20" t="e">
        <f>IF(#REF!,"AAAAAHy//08=",0)</f>
        <v>#REF!</v>
      </c>
      <c r="CC20" t="e">
        <f>AND(#REF!,"AAAAAHy//1A=")</f>
        <v>#REF!</v>
      </c>
      <c r="CD20" t="e">
        <f>AND(#REF!,"AAAAAHy//1E=")</f>
        <v>#REF!</v>
      </c>
      <c r="CE20" t="e">
        <f>AND(#REF!,"AAAAAHy//1I=")</f>
        <v>#REF!</v>
      </c>
      <c r="CF20" t="e">
        <f>AND(#REF!,"AAAAAHy//1M=")</f>
        <v>#REF!</v>
      </c>
      <c r="CG20" t="e">
        <f>AND(#REF!,"AAAAAHy//1Q=")</f>
        <v>#REF!</v>
      </c>
      <c r="CH20" t="e">
        <f>AND(#REF!,"AAAAAHy//1U=")</f>
        <v>#REF!</v>
      </c>
      <c r="CI20" t="e">
        <f>AND(#REF!,"AAAAAHy//1Y=")</f>
        <v>#REF!</v>
      </c>
      <c r="CJ20" t="e">
        <f>AND(#REF!,"AAAAAHy//1c=")</f>
        <v>#REF!</v>
      </c>
      <c r="CK20" t="e">
        <f>AND(#REF!,"AAAAAHy//1g=")</f>
        <v>#REF!</v>
      </c>
      <c r="CL20" t="e">
        <f>AND(#REF!,"AAAAAHy//1k=")</f>
        <v>#REF!</v>
      </c>
      <c r="CM20" t="e">
        <f>AND(#REF!,"AAAAAHy//1o=")</f>
        <v>#REF!</v>
      </c>
      <c r="CN20" t="e">
        <f>AND(#REF!,"AAAAAHy//1s=")</f>
        <v>#REF!</v>
      </c>
      <c r="CO20" t="e">
        <f>IF(#REF!,"AAAAAHy//1w=",0)</f>
        <v>#REF!</v>
      </c>
      <c r="CP20" t="e">
        <f>AND(#REF!,"AAAAAHy//10=")</f>
        <v>#REF!</v>
      </c>
      <c r="CQ20" t="e">
        <f>AND(#REF!,"AAAAAHy//14=")</f>
        <v>#REF!</v>
      </c>
      <c r="CR20" t="e">
        <f>AND(#REF!,"AAAAAHy//18=")</f>
        <v>#REF!</v>
      </c>
      <c r="CS20" t="e">
        <f>AND(#REF!,"AAAAAHy//2A=")</f>
        <v>#REF!</v>
      </c>
      <c r="CT20" t="e">
        <f>AND(#REF!,"AAAAAHy//2E=")</f>
        <v>#REF!</v>
      </c>
      <c r="CU20" t="e">
        <f>AND(#REF!,"AAAAAHy//2I=")</f>
        <v>#REF!</v>
      </c>
      <c r="CV20" t="e">
        <f>AND(#REF!,"AAAAAHy//2M=")</f>
        <v>#REF!</v>
      </c>
      <c r="CW20" t="e">
        <f>AND(#REF!,"AAAAAHy//2Q=")</f>
        <v>#REF!</v>
      </c>
      <c r="CX20" t="e">
        <f>AND(#REF!,"AAAAAHy//2U=")</f>
        <v>#REF!</v>
      </c>
      <c r="CY20" t="e">
        <f>AND(#REF!,"AAAAAHy//2Y=")</f>
        <v>#REF!</v>
      </c>
      <c r="CZ20" t="e">
        <f>AND(#REF!,"AAAAAHy//2c=")</f>
        <v>#REF!</v>
      </c>
      <c r="DA20" t="e">
        <f>AND(#REF!,"AAAAAHy//2g=")</f>
        <v>#REF!</v>
      </c>
      <c r="DB20" t="e">
        <f>IF(#REF!,"AAAAAHy//2k=",0)</f>
        <v>#REF!</v>
      </c>
      <c r="DC20" t="e">
        <f>AND(#REF!,"AAAAAHy//2o=")</f>
        <v>#REF!</v>
      </c>
      <c r="DD20" t="e">
        <f>AND(#REF!,"AAAAAHy//2s=")</f>
        <v>#REF!</v>
      </c>
      <c r="DE20" t="e">
        <f>AND(#REF!,"AAAAAHy//2w=")</f>
        <v>#REF!</v>
      </c>
      <c r="DF20" t="e">
        <f>AND(#REF!,"AAAAAHy//20=")</f>
        <v>#REF!</v>
      </c>
      <c r="DG20" t="e">
        <f>AND(#REF!,"AAAAAHy//24=")</f>
        <v>#REF!</v>
      </c>
      <c r="DH20" t="e">
        <f>AND(#REF!,"AAAAAHy//28=")</f>
        <v>#REF!</v>
      </c>
      <c r="DI20" t="e">
        <f>AND(#REF!,"AAAAAHy//3A=")</f>
        <v>#REF!</v>
      </c>
      <c r="DJ20" t="e">
        <f>AND(#REF!,"AAAAAHy//3E=")</f>
        <v>#REF!</v>
      </c>
      <c r="DK20" t="e">
        <f>AND(#REF!,"AAAAAHy//3I=")</f>
        <v>#REF!</v>
      </c>
      <c r="DL20" t="e">
        <f>AND(#REF!,"AAAAAHy//3M=")</f>
        <v>#REF!</v>
      </c>
      <c r="DM20" t="e">
        <f>AND(#REF!,"AAAAAHy//3Q=")</f>
        <v>#REF!</v>
      </c>
      <c r="DN20" t="e">
        <f>AND(#REF!,"AAAAAHy//3U=")</f>
        <v>#REF!</v>
      </c>
      <c r="DO20" t="e">
        <f>IF(#REF!,"AAAAAHy//3Y=",0)</f>
        <v>#REF!</v>
      </c>
      <c r="DP20" t="e">
        <f>AND(#REF!,"AAAAAHy//3c=")</f>
        <v>#REF!</v>
      </c>
      <c r="DQ20" t="e">
        <f>AND(#REF!,"AAAAAHy//3g=")</f>
        <v>#REF!</v>
      </c>
      <c r="DR20" t="e">
        <f>AND(#REF!,"AAAAAHy//3k=")</f>
        <v>#REF!</v>
      </c>
      <c r="DS20" t="e">
        <f>AND(#REF!,"AAAAAHy//3o=")</f>
        <v>#REF!</v>
      </c>
      <c r="DT20" t="e">
        <f>AND(#REF!,"AAAAAHy//3s=")</f>
        <v>#REF!</v>
      </c>
      <c r="DU20" t="e">
        <f>AND(#REF!,"AAAAAHy//3w=")</f>
        <v>#REF!</v>
      </c>
      <c r="DV20" t="e">
        <f>AND(#REF!,"AAAAAHy//30=")</f>
        <v>#REF!</v>
      </c>
      <c r="DW20" t="e">
        <f>AND(#REF!,"AAAAAHy//34=")</f>
        <v>#REF!</v>
      </c>
      <c r="DX20" t="e">
        <f>AND(#REF!,"AAAAAHy//38=")</f>
        <v>#REF!</v>
      </c>
      <c r="DY20" t="e">
        <f>AND(#REF!,"AAAAAHy//4A=")</f>
        <v>#REF!</v>
      </c>
      <c r="DZ20" t="e">
        <f>AND(#REF!,"AAAAAHy//4E=")</f>
        <v>#REF!</v>
      </c>
      <c r="EA20" t="e">
        <f>AND(#REF!,"AAAAAHy//4I=")</f>
        <v>#REF!</v>
      </c>
      <c r="EB20" t="e">
        <f>IF(#REF!,"AAAAAHy//4M=",0)</f>
        <v>#REF!</v>
      </c>
      <c r="EC20" t="e">
        <f>AND(#REF!,"AAAAAHy//4Q=")</f>
        <v>#REF!</v>
      </c>
      <c r="ED20" t="e">
        <f>AND(#REF!,"AAAAAHy//4U=")</f>
        <v>#REF!</v>
      </c>
      <c r="EE20" t="e">
        <f>AND(#REF!,"AAAAAHy//4Y=")</f>
        <v>#REF!</v>
      </c>
      <c r="EF20" t="e">
        <f>AND(#REF!,"AAAAAHy//4c=")</f>
        <v>#REF!</v>
      </c>
      <c r="EG20" t="e">
        <f>AND(#REF!,"AAAAAHy//4g=")</f>
        <v>#REF!</v>
      </c>
      <c r="EH20" t="e">
        <f>AND(#REF!,"AAAAAHy//4k=")</f>
        <v>#REF!</v>
      </c>
      <c r="EI20" t="e">
        <f>AND(#REF!,"AAAAAHy//4o=")</f>
        <v>#REF!</v>
      </c>
      <c r="EJ20" t="e">
        <f>AND(#REF!,"AAAAAHy//4s=")</f>
        <v>#REF!</v>
      </c>
      <c r="EK20" t="e">
        <f>AND(#REF!,"AAAAAHy//4w=")</f>
        <v>#REF!</v>
      </c>
      <c r="EL20" t="e">
        <f>AND(#REF!,"AAAAAHy//40=")</f>
        <v>#REF!</v>
      </c>
      <c r="EM20" t="e">
        <f>AND(#REF!,"AAAAAHy//44=")</f>
        <v>#REF!</v>
      </c>
      <c r="EN20" t="e">
        <f>AND(#REF!,"AAAAAHy//48=")</f>
        <v>#REF!</v>
      </c>
      <c r="EO20" t="e">
        <f>IF(#REF!,"AAAAAHy//5A=",0)</f>
        <v>#REF!</v>
      </c>
      <c r="EP20" t="e">
        <f>AND(#REF!,"AAAAAHy//5E=")</f>
        <v>#REF!</v>
      </c>
      <c r="EQ20" t="e">
        <f>AND(#REF!,"AAAAAHy//5I=")</f>
        <v>#REF!</v>
      </c>
      <c r="ER20" t="e">
        <f>AND(#REF!,"AAAAAHy//5M=")</f>
        <v>#REF!</v>
      </c>
      <c r="ES20" t="e">
        <f>AND(#REF!,"AAAAAHy//5Q=")</f>
        <v>#REF!</v>
      </c>
      <c r="ET20" t="e">
        <f>AND(#REF!,"AAAAAHy//5U=")</f>
        <v>#REF!</v>
      </c>
      <c r="EU20" t="e">
        <f>AND(#REF!,"AAAAAHy//5Y=")</f>
        <v>#REF!</v>
      </c>
      <c r="EV20" t="e">
        <f>AND(#REF!,"AAAAAHy//5c=")</f>
        <v>#REF!</v>
      </c>
      <c r="EW20" t="e">
        <f>AND(#REF!,"AAAAAHy//5g=")</f>
        <v>#REF!</v>
      </c>
      <c r="EX20" t="e">
        <f>AND(#REF!,"AAAAAHy//5k=")</f>
        <v>#REF!</v>
      </c>
      <c r="EY20" t="e">
        <f>AND(#REF!,"AAAAAHy//5o=")</f>
        <v>#REF!</v>
      </c>
      <c r="EZ20" t="e">
        <f>AND(#REF!,"AAAAAHy//5s=")</f>
        <v>#REF!</v>
      </c>
      <c r="FA20" t="e">
        <f>AND(#REF!,"AAAAAHy//5w=")</f>
        <v>#REF!</v>
      </c>
      <c r="FB20" t="e">
        <f>IF(#REF!,"AAAAAHy//50=",0)</f>
        <v>#REF!</v>
      </c>
      <c r="FC20" t="e">
        <f>AND(#REF!,"AAAAAHy//54=")</f>
        <v>#REF!</v>
      </c>
      <c r="FD20" t="e">
        <f>AND(#REF!,"AAAAAHy//58=")</f>
        <v>#REF!</v>
      </c>
      <c r="FE20" t="e">
        <f>AND(#REF!,"AAAAAHy//6A=")</f>
        <v>#REF!</v>
      </c>
      <c r="FF20" t="e">
        <f>AND(#REF!,"AAAAAHy//6E=")</f>
        <v>#REF!</v>
      </c>
      <c r="FG20" t="e">
        <f>AND(#REF!,"AAAAAHy//6I=")</f>
        <v>#REF!</v>
      </c>
      <c r="FH20" t="e">
        <f>AND(#REF!,"AAAAAHy//6M=")</f>
        <v>#REF!</v>
      </c>
      <c r="FI20" t="e">
        <f>AND(#REF!,"AAAAAHy//6Q=")</f>
        <v>#REF!</v>
      </c>
      <c r="FJ20" t="e">
        <f>AND(#REF!,"AAAAAHy//6U=")</f>
        <v>#REF!</v>
      </c>
      <c r="FK20" t="e">
        <f>AND(#REF!,"AAAAAHy//6Y=")</f>
        <v>#REF!</v>
      </c>
      <c r="FL20" t="e">
        <f>AND(#REF!,"AAAAAHy//6c=")</f>
        <v>#REF!</v>
      </c>
      <c r="FM20" t="e">
        <f>AND(#REF!,"AAAAAHy//6g=")</f>
        <v>#REF!</v>
      </c>
      <c r="FN20" t="e">
        <f>AND(#REF!,"AAAAAHy//6k=")</f>
        <v>#REF!</v>
      </c>
      <c r="FO20" t="e">
        <f>IF(#REF!,"AAAAAHy//6o=",0)</f>
        <v>#REF!</v>
      </c>
      <c r="FP20" t="e">
        <f>AND(#REF!,"AAAAAHy//6s=")</f>
        <v>#REF!</v>
      </c>
      <c r="FQ20" t="e">
        <f>AND(#REF!,"AAAAAHy//6w=")</f>
        <v>#REF!</v>
      </c>
      <c r="FR20" t="e">
        <f>AND(#REF!,"AAAAAHy//60=")</f>
        <v>#REF!</v>
      </c>
      <c r="FS20" t="e">
        <f>AND(#REF!,"AAAAAHy//64=")</f>
        <v>#REF!</v>
      </c>
      <c r="FT20" t="e">
        <f>AND(#REF!,"AAAAAHy//68=")</f>
        <v>#REF!</v>
      </c>
      <c r="FU20" t="e">
        <f>AND(#REF!,"AAAAAHy//7A=")</f>
        <v>#REF!</v>
      </c>
      <c r="FV20" t="e">
        <f>AND(#REF!,"AAAAAHy//7E=")</f>
        <v>#REF!</v>
      </c>
      <c r="FW20" t="e">
        <f>AND(#REF!,"AAAAAHy//7I=")</f>
        <v>#REF!</v>
      </c>
      <c r="FX20" t="e">
        <f>AND(#REF!,"AAAAAHy//7M=")</f>
        <v>#REF!</v>
      </c>
      <c r="FY20" t="e">
        <f>AND(#REF!,"AAAAAHy//7Q=")</f>
        <v>#REF!</v>
      </c>
      <c r="FZ20" t="e">
        <f>AND(#REF!,"AAAAAHy//7U=")</f>
        <v>#REF!</v>
      </c>
      <c r="GA20" t="e">
        <f>AND(#REF!,"AAAAAHy//7Y=")</f>
        <v>#REF!</v>
      </c>
      <c r="GB20" t="e">
        <f>IF(#REF!,"AAAAAHy//7c=",0)</f>
        <v>#REF!</v>
      </c>
      <c r="GC20" t="e">
        <f>AND(#REF!,"AAAAAHy//7g=")</f>
        <v>#REF!</v>
      </c>
      <c r="GD20" t="e">
        <f>AND(#REF!,"AAAAAHy//7k=")</f>
        <v>#REF!</v>
      </c>
      <c r="GE20" t="e">
        <f>AND(#REF!,"AAAAAHy//7o=")</f>
        <v>#REF!</v>
      </c>
      <c r="GF20" t="e">
        <f>AND(#REF!,"AAAAAHy//7s=")</f>
        <v>#REF!</v>
      </c>
      <c r="GG20" t="e">
        <f>AND(#REF!,"AAAAAHy//7w=")</f>
        <v>#REF!</v>
      </c>
      <c r="GH20" t="e">
        <f>AND(#REF!,"AAAAAHy//70=")</f>
        <v>#REF!</v>
      </c>
      <c r="GI20" t="e">
        <f>AND(#REF!,"AAAAAHy//74=")</f>
        <v>#REF!</v>
      </c>
      <c r="GJ20" t="e">
        <f>AND(#REF!,"AAAAAHy//78=")</f>
        <v>#REF!</v>
      </c>
      <c r="GK20" t="e">
        <f>AND(#REF!,"AAAAAHy//8A=")</f>
        <v>#REF!</v>
      </c>
      <c r="GL20" t="e">
        <f>AND(#REF!,"AAAAAHy//8E=")</f>
        <v>#REF!</v>
      </c>
      <c r="GM20" t="e">
        <f>AND(#REF!,"AAAAAHy//8I=")</f>
        <v>#REF!</v>
      </c>
      <c r="GN20" t="e">
        <f>AND(#REF!,"AAAAAHy//8M=")</f>
        <v>#REF!</v>
      </c>
      <c r="GO20" t="e">
        <f>IF(#REF!,"AAAAAHy//8Q=",0)</f>
        <v>#REF!</v>
      </c>
      <c r="GP20" t="e">
        <f>AND(#REF!,"AAAAAHy//8U=")</f>
        <v>#REF!</v>
      </c>
      <c r="GQ20" t="e">
        <f>AND(#REF!,"AAAAAHy//8Y=")</f>
        <v>#REF!</v>
      </c>
      <c r="GR20" t="e">
        <f>AND(#REF!,"AAAAAHy//8c=")</f>
        <v>#REF!</v>
      </c>
      <c r="GS20" t="e">
        <f>AND(#REF!,"AAAAAHy//8g=")</f>
        <v>#REF!</v>
      </c>
      <c r="GT20" t="e">
        <f>AND(#REF!,"AAAAAHy//8k=")</f>
        <v>#REF!</v>
      </c>
      <c r="GU20" t="e">
        <f>AND(#REF!,"AAAAAHy//8o=")</f>
        <v>#REF!</v>
      </c>
      <c r="GV20" t="e">
        <f>AND(#REF!,"AAAAAHy//8s=")</f>
        <v>#REF!</v>
      </c>
      <c r="GW20" t="e">
        <f>AND(#REF!,"AAAAAHy//8w=")</f>
        <v>#REF!</v>
      </c>
      <c r="GX20" t="e">
        <f>AND(#REF!,"AAAAAHy//80=")</f>
        <v>#REF!</v>
      </c>
      <c r="GY20" t="e">
        <f>AND(#REF!,"AAAAAHy//84=")</f>
        <v>#REF!</v>
      </c>
      <c r="GZ20" t="e">
        <f>AND(#REF!,"AAAAAHy//88=")</f>
        <v>#REF!</v>
      </c>
      <c r="HA20" t="e">
        <f>AND(#REF!,"AAAAAHy//9A=")</f>
        <v>#REF!</v>
      </c>
      <c r="HB20" t="e">
        <f>IF(#REF!,"AAAAAHy//9E=",0)</f>
        <v>#REF!</v>
      </c>
      <c r="HC20" t="e">
        <f>AND(#REF!,"AAAAAHy//9I=")</f>
        <v>#REF!</v>
      </c>
      <c r="HD20" t="e">
        <f>AND(#REF!,"AAAAAHy//9M=")</f>
        <v>#REF!</v>
      </c>
      <c r="HE20" t="e">
        <f>AND(#REF!,"AAAAAHy//9Q=")</f>
        <v>#REF!</v>
      </c>
      <c r="HF20" t="e">
        <f>AND(#REF!,"AAAAAHy//9U=")</f>
        <v>#REF!</v>
      </c>
      <c r="HG20" t="e">
        <f>AND(#REF!,"AAAAAHy//9Y=")</f>
        <v>#REF!</v>
      </c>
      <c r="HH20" t="e">
        <f>AND(#REF!,"AAAAAHy//9c=")</f>
        <v>#REF!</v>
      </c>
      <c r="HI20" t="e">
        <f>AND(#REF!,"AAAAAHy//9g=")</f>
        <v>#REF!</v>
      </c>
      <c r="HJ20" t="e">
        <f>AND(#REF!,"AAAAAHy//9k=")</f>
        <v>#REF!</v>
      </c>
      <c r="HK20" t="e">
        <f>AND(#REF!,"AAAAAHy//9o=")</f>
        <v>#REF!</v>
      </c>
      <c r="HL20" t="e">
        <f>AND(#REF!,"AAAAAHy//9s=")</f>
        <v>#REF!</v>
      </c>
      <c r="HM20" t="e">
        <f>AND(#REF!,"AAAAAHy//9w=")</f>
        <v>#REF!</v>
      </c>
      <c r="HN20" t="e">
        <f>AND(#REF!,"AAAAAHy//90=")</f>
        <v>#REF!</v>
      </c>
      <c r="HO20" t="e">
        <f>IF(#REF!,"AAAAAHy//94=",0)</f>
        <v>#REF!</v>
      </c>
      <c r="HP20" t="e">
        <f>AND(#REF!,"AAAAAHy//98=")</f>
        <v>#REF!</v>
      </c>
      <c r="HQ20" t="e">
        <f>AND(#REF!,"AAAAAHy//+A=")</f>
        <v>#REF!</v>
      </c>
      <c r="HR20" t="e">
        <f>AND(#REF!,"AAAAAHy//+E=")</f>
        <v>#REF!</v>
      </c>
      <c r="HS20" t="e">
        <f>AND(#REF!,"AAAAAHy//+I=")</f>
        <v>#REF!</v>
      </c>
      <c r="HT20" t="e">
        <f>AND(#REF!,"AAAAAHy//+M=")</f>
        <v>#REF!</v>
      </c>
      <c r="HU20" t="e">
        <f>AND(#REF!,"AAAAAHy//+Q=")</f>
        <v>#REF!</v>
      </c>
      <c r="HV20" t="e">
        <f>AND(#REF!,"AAAAAHy//+U=")</f>
        <v>#REF!</v>
      </c>
      <c r="HW20" t="e">
        <f>AND(#REF!,"AAAAAHy//+Y=")</f>
        <v>#REF!</v>
      </c>
      <c r="HX20" t="e">
        <f>AND(#REF!,"AAAAAHy//+c=")</f>
        <v>#REF!</v>
      </c>
      <c r="HY20" t="e">
        <f>AND(#REF!,"AAAAAHy//+g=")</f>
        <v>#REF!</v>
      </c>
      <c r="HZ20" t="e">
        <f>AND(#REF!,"AAAAAHy//+k=")</f>
        <v>#REF!</v>
      </c>
      <c r="IA20" t="e">
        <f>AND(#REF!,"AAAAAHy//+o=")</f>
        <v>#REF!</v>
      </c>
      <c r="IB20" t="e">
        <f>IF(#REF!,"AAAAAHy//+s=",0)</f>
        <v>#REF!</v>
      </c>
      <c r="IC20" t="e">
        <f>AND(#REF!,"AAAAAHy//+w=")</f>
        <v>#REF!</v>
      </c>
      <c r="ID20" t="e">
        <f>AND(#REF!,"AAAAAHy//+0=")</f>
        <v>#REF!</v>
      </c>
      <c r="IE20" t="e">
        <f>AND(#REF!,"AAAAAHy//+4=")</f>
        <v>#REF!</v>
      </c>
      <c r="IF20" t="e">
        <f>AND(#REF!,"AAAAAHy//+8=")</f>
        <v>#REF!</v>
      </c>
      <c r="IG20" t="e">
        <f>AND(#REF!,"AAAAAHy///A=")</f>
        <v>#REF!</v>
      </c>
      <c r="IH20" t="e">
        <f>AND(#REF!,"AAAAAHy///E=")</f>
        <v>#REF!</v>
      </c>
      <c r="II20" t="e">
        <f>AND(#REF!,"AAAAAHy///I=")</f>
        <v>#REF!</v>
      </c>
      <c r="IJ20" t="e">
        <f>AND(#REF!,"AAAAAHy///M=")</f>
        <v>#REF!</v>
      </c>
      <c r="IK20" t="e">
        <f>AND(#REF!,"AAAAAHy///Q=")</f>
        <v>#REF!</v>
      </c>
      <c r="IL20" t="e">
        <f>AND(#REF!,"AAAAAHy///U=")</f>
        <v>#REF!</v>
      </c>
      <c r="IM20" t="e">
        <f>AND(#REF!,"AAAAAHy///Y=")</f>
        <v>#REF!</v>
      </c>
      <c r="IN20" t="e">
        <f>AND(#REF!,"AAAAAHy///c=")</f>
        <v>#REF!</v>
      </c>
      <c r="IO20" t="e">
        <f>IF(#REF!,"AAAAAHy///g=",0)</f>
        <v>#REF!</v>
      </c>
      <c r="IP20" t="e">
        <f>AND(#REF!,"AAAAAHy///k=")</f>
        <v>#REF!</v>
      </c>
      <c r="IQ20" t="e">
        <f>AND(#REF!,"AAAAAHy///o=")</f>
        <v>#REF!</v>
      </c>
      <c r="IR20" t="e">
        <f>AND(#REF!,"AAAAAHy///s=")</f>
        <v>#REF!</v>
      </c>
      <c r="IS20" t="e">
        <f>AND(#REF!,"AAAAAHy///w=")</f>
        <v>#REF!</v>
      </c>
      <c r="IT20" t="e">
        <f>AND(#REF!,"AAAAAHy///0=")</f>
        <v>#REF!</v>
      </c>
      <c r="IU20" t="e">
        <f>AND(#REF!,"AAAAAHy///4=")</f>
        <v>#REF!</v>
      </c>
      <c r="IV20" t="e">
        <f>AND(#REF!,"AAAAAHy///8=")</f>
        <v>#REF!</v>
      </c>
    </row>
    <row r="21" spans="1:256">
      <c r="A21" t="e">
        <f>AND(#REF!,"AAAAADu37wA=")</f>
        <v>#REF!</v>
      </c>
      <c r="B21" t="e">
        <f>AND(#REF!,"AAAAADu37wE=")</f>
        <v>#REF!</v>
      </c>
      <c r="C21" t="e">
        <f>AND(#REF!,"AAAAADu37wI=")</f>
        <v>#REF!</v>
      </c>
      <c r="D21" t="e">
        <f>AND(#REF!,"AAAAADu37wM=")</f>
        <v>#REF!</v>
      </c>
      <c r="E21" t="e">
        <f>AND(#REF!,"AAAAADu37wQ=")</f>
        <v>#REF!</v>
      </c>
      <c r="F21" t="e">
        <f>IF(#REF!,"AAAAADu37wU=",0)</f>
        <v>#REF!</v>
      </c>
      <c r="G21" t="e">
        <f>AND(#REF!,"AAAAADu37wY=")</f>
        <v>#REF!</v>
      </c>
      <c r="H21" t="e">
        <f>AND(#REF!,"AAAAADu37wc=")</f>
        <v>#REF!</v>
      </c>
      <c r="I21" t="e">
        <f>AND(#REF!,"AAAAADu37wg=")</f>
        <v>#REF!</v>
      </c>
      <c r="J21" t="e">
        <f>AND(#REF!,"AAAAADu37wk=")</f>
        <v>#REF!</v>
      </c>
      <c r="K21" t="e">
        <f>AND(#REF!,"AAAAADu37wo=")</f>
        <v>#REF!</v>
      </c>
      <c r="L21" t="e">
        <f>AND(#REF!,"AAAAADu37ws=")</f>
        <v>#REF!</v>
      </c>
      <c r="M21" t="e">
        <f>AND(#REF!,"AAAAADu37ww=")</f>
        <v>#REF!</v>
      </c>
      <c r="N21" t="e">
        <f>AND(#REF!,"AAAAADu37w0=")</f>
        <v>#REF!</v>
      </c>
      <c r="O21" t="e">
        <f>AND(#REF!,"AAAAADu37w4=")</f>
        <v>#REF!</v>
      </c>
      <c r="P21" t="e">
        <f>AND(#REF!,"AAAAADu37w8=")</f>
        <v>#REF!</v>
      </c>
      <c r="Q21" t="e">
        <f>AND(#REF!,"AAAAADu37xA=")</f>
        <v>#REF!</v>
      </c>
      <c r="R21" t="e">
        <f>AND(#REF!,"AAAAADu37xE=")</f>
        <v>#REF!</v>
      </c>
      <c r="S21" t="e">
        <f>IF(#REF!,"AAAAADu37xI=",0)</f>
        <v>#REF!</v>
      </c>
      <c r="T21" t="e">
        <f>AND(#REF!,"AAAAADu37xM=")</f>
        <v>#REF!</v>
      </c>
      <c r="U21" t="e">
        <f>AND(#REF!,"AAAAADu37xQ=")</f>
        <v>#REF!</v>
      </c>
      <c r="V21" t="e">
        <f>AND(#REF!,"AAAAADu37xU=")</f>
        <v>#REF!</v>
      </c>
      <c r="W21" t="e">
        <f>AND(#REF!,"AAAAADu37xY=")</f>
        <v>#REF!</v>
      </c>
      <c r="X21" t="e">
        <f>AND(#REF!,"AAAAADu37xc=")</f>
        <v>#REF!</v>
      </c>
      <c r="Y21" t="e">
        <f>AND(#REF!,"AAAAADu37xg=")</f>
        <v>#REF!</v>
      </c>
      <c r="Z21" t="e">
        <f>AND(#REF!,"AAAAADu37xk=")</f>
        <v>#REF!</v>
      </c>
      <c r="AA21" t="e">
        <f>AND(#REF!,"AAAAADu37xo=")</f>
        <v>#REF!</v>
      </c>
      <c r="AB21" t="e">
        <f>AND(#REF!,"AAAAADu37xs=")</f>
        <v>#REF!</v>
      </c>
      <c r="AC21" t="e">
        <f>AND(#REF!,"AAAAADu37xw=")</f>
        <v>#REF!</v>
      </c>
      <c r="AD21" t="e">
        <f>AND(#REF!,"AAAAADu37x0=")</f>
        <v>#REF!</v>
      </c>
      <c r="AE21" t="e">
        <f>AND(#REF!,"AAAAADu37x4=")</f>
        <v>#REF!</v>
      </c>
      <c r="AF21" t="e">
        <f>IF(#REF!,"AAAAADu37x8=",0)</f>
        <v>#REF!</v>
      </c>
      <c r="AG21" t="e">
        <f>AND(#REF!,"AAAAADu37yA=")</f>
        <v>#REF!</v>
      </c>
      <c r="AH21" t="e">
        <f>AND(#REF!,"AAAAADu37yE=")</f>
        <v>#REF!</v>
      </c>
      <c r="AI21" t="e">
        <f>AND(#REF!,"AAAAADu37yI=")</f>
        <v>#REF!</v>
      </c>
      <c r="AJ21" t="e">
        <f>AND(#REF!,"AAAAADu37yM=")</f>
        <v>#REF!</v>
      </c>
      <c r="AK21" t="e">
        <f>AND(#REF!,"AAAAADu37yQ=")</f>
        <v>#REF!</v>
      </c>
      <c r="AL21" t="e">
        <f>AND(#REF!,"AAAAADu37yU=")</f>
        <v>#REF!</v>
      </c>
      <c r="AM21" t="e">
        <f>AND(#REF!,"AAAAADu37yY=")</f>
        <v>#REF!</v>
      </c>
      <c r="AN21" t="e">
        <f>AND(#REF!,"AAAAADu37yc=")</f>
        <v>#REF!</v>
      </c>
      <c r="AO21" t="e">
        <f>AND(#REF!,"AAAAADu37yg=")</f>
        <v>#REF!</v>
      </c>
      <c r="AP21" t="e">
        <f>AND(#REF!,"AAAAADu37yk=")</f>
        <v>#REF!</v>
      </c>
      <c r="AQ21" t="e">
        <f>AND(#REF!,"AAAAADu37yo=")</f>
        <v>#REF!</v>
      </c>
      <c r="AR21" t="e">
        <f>AND(#REF!,"AAAAADu37ys=")</f>
        <v>#REF!</v>
      </c>
      <c r="AS21" t="e">
        <f>IF(#REF!,"AAAAADu37yw=",0)</f>
        <v>#REF!</v>
      </c>
      <c r="AT21" t="e">
        <f>AND(#REF!,"AAAAADu37y0=")</f>
        <v>#REF!</v>
      </c>
      <c r="AU21" t="e">
        <f>AND(#REF!,"AAAAADu37y4=")</f>
        <v>#REF!</v>
      </c>
      <c r="AV21" t="e">
        <f>AND(#REF!,"AAAAADu37y8=")</f>
        <v>#REF!</v>
      </c>
      <c r="AW21" t="e">
        <f>AND(#REF!,"AAAAADu37zA=")</f>
        <v>#REF!</v>
      </c>
      <c r="AX21" t="e">
        <f>AND(#REF!,"AAAAADu37zE=")</f>
        <v>#REF!</v>
      </c>
      <c r="AY21" t="e">
        <f>AND(#REF!,"AAAAADu37zI=")</f>
        <v>#REF!</v>
      </c>
      <c r="AZ21" t="e">
        <f>AND(#REF!,"AAAAADu37zM=")</f>
        <v>#REF!</v>
      </c>
      <c r="BA21" t="e">
        <f>AND(#REF!,"AAAAADu37zQ=")</f>
        <v>#REF!</v>
      </c>
      <c r="BB21" t="e">
        <f>AND(#REF!,"AAAAADu37zU=")</f>
        <v>#REF!</v>
      </c>
      <c r="BC21" t="e">
        <f>AND(#REF!,"AAAAADu37zY=")</f>
        <v>#REF!</v>
      </c>
      <c r="BD21" t="e">
        <f>AND(#REF!,"AAAAADu37zc=")</f>
        <v>#REF!</v>
      </c>
      <c r="BE21" t="e">
        <f>AND(#REF!,"AAAAADu37zg=")</f>
        <v>#REF!</v>
      </c>
      <c r="BF21" t="e">
        <f>IF(#REF!,"AAAAADu37zk=",0)</f>
        <v>#REF!</v>
      </c>
      <c r="BG21" t="e">
        <f>AND(#REF!,"AAAAADu37zo=")</f>
        <v>#REF!</v>
      </c>
      <c r="BH21" t="e">
        <f>AND(#REF!,"AAAAADu37zs=")</f>
        <v>#REF!</v>
      </c>
      <c r="BI21" t="e">
        <f>AND(#REF!,"AAAAADu37zw=")</f>
        <v>#REF!</v>
      </c>
      <c r="BJ21" t="e">
        <f>AND(#REF!,"AAAAADu37z0=")</f>
        <v>#REF!</v>
      </c>
      <c r="BK21" t="e">
        <f>AND(#REF!,"AAAAADu37z4=")</f>
        <v>#REF!</v>
      </c>
      <c r="BL21" t="e">
        <f>AND(#REF!,"AAAAADu37z8=")</f>
        <v>#REF!</v>
      </c>
      <c r="BM21" t="e">
        <f>AND(#REF!,"AAAAADu370A=")</f>
        <v>#REF!</v>
      </c>
      <c r="BN21" t="e">
        <f>AND(#REF!,"AAAAADu370E=")</f>
        <v>#REF!</v>
      </c>
      <c r="BO21" t="e">
        <f>AND(#REF!,"AAAAADu370I=")</f>
        <v>#REF!</v>
      </c>
      <c r="BP21" t="e">
        <f>AND(#REF!,"AAAAADu370M=")</f>
        <v>#REF!</v>
      </c>
      <c r="BQ21" t="e">
        <f>AND(#REF!,"AAAAADu370Q=")</f>
        <v>#REF!</v>
      </c>
      <c r="BR21" t="e">
        <f>AND(#REF!,"AAAAADu370U=")</f>
        <v>#REF!</v>
      </c>
      <c r="BS21" t="e">
        <f>IF(#REF!,"AAAAADu370Y=",0)</f>
        <v>#REF!</v>
      </c>
      <c r="BT21" t="e">
        <f>AND(#REF!,"AAAAADu370c=")</f>
        <v>#REF!</v>
      </c>
      <c r="BU21" t="e">
        <f>AND(#REF!,"AAAAADu370g=")</f>
        <v>#REF!</v>
      </c>
      <c r="BV21" t="e">
        <f>AND(#REF!,"AAAAADu370k=")</f>
        <v>#REF!</v>
      </c>
      <c r="BW21" t="e">
        <f>AND(#REF!,"AAAAADu370o=")</f>
        <v>#REF!</v>
      </c>
      <c r="BX21" t="e">
        <f>AND(#REF!,"AAAAADu370s=")</f>
        <v>#REF!</v>
      </c>
      <c r="BY21" t="e">
        <f>AND(#REF!,"AAAAADu370w=")</f>
        <v>#REF!</v>
      </c>
      <c r="BZ21" t="e">
        <f>AND(#REF!,"AAAAADu3700=")</f>
        <v>#REF!</v>
      </c>
      <c r="CA21" t="e">
        <f>AND(#REF!,"AAAAADu3704=")</f>
        <v>#REF!</v>
      </c>
      <c r="CB21" t="e">
        <f>AND(#REF!,"AAAAADu3708=")</f>
        <v>#REF!</v>
      </c>
      <c r="CC21" t="e">
        <f>AND(#REF!,"AAAAADu371A=")</f>
        <v>#REF!</v>
      </c>
      <c r="CD21" t="e">
        <f>AND(#REF!,"AAAAADu371E=")</f>
        <v>#REF!</v>
      </c>
      <c r="CE21" t="e">
        <f>AND(#REF!,"AAAAADu371I=")</f>
        <v>#REF!</v>
      </c>
      <c r="CF21" t="e">
        <f>IF(#REF!,"AAAAADu371M=",0)</f>
        <v>#REF!</v>
      </c>
      <c r="CG21" t="e">
        <f>AND(#REF!,"AAAAADu371Q=")</f>
        <v>#REF!</v>
      </c>
      <c r="CH21" t="e">
        <f>AND(#REF!,"AAAAADu371U=")</f>
        <v>#REF!</v>
      </c>
      <c r="CI21" t="e">
        <f>AND(#REF!,"AAAAADu371Y=")</f>
        <v>#REF!</v>
      </c>
      <c r="CJ21" t="e">
        <f>AND(#REF!,"AAAAADu371c=")</f>
        <v>#REF!</v>
      </c>
      <c r="CK21" t="e">
        <f>AND(#REF!,"AAAAADu371g=")</f>
        <v>#REF!</v>
      </c>
      <c r="CL21" t="e">
        <f>AND(#REF!,"AAAAADu371k=")</f>
        <v>#REF!</v>
      </c>
      <c r="CM21" t="e">
        <f>AND(#REF!,"AAAAADu371o=")</f>
        <v>#REF!</v>
      </c>
      <c r="CN21" t="e">
        <f>AND(#REF!,"AAAAADu371s=")</f>
        <v>#REF!</v>
      </c>
      <c r="CO21" t="e">
        <f>AND(#REF!,"AAAAADu371w=")</f>
        <v>#REF!</v>
      </c>
      <c r="CP21" t="e">
        <f>AND(#REF!,"AAAAADu3710=")</f>
        <v>#REF!</v>
      </c>
      <c r="CQ21" t="e">
        <f>AND(#REF!,"AAAAADu3714=")</f>
        <v>#REF!</v>
      </c>
      <c r="CR21" t="e">
        <f>AND(#REF!,"AAAAADu3718=")</f>
        <v>#REF!</v>
      </c>
      <c r="CS21" t="e">
        <f>IF(#REF!,"AAAAADu372A=",0)</f>
        <v>#REF!</v>
      </c>
      <c r="CT21" t="e">
        <f>AND(#REF!,"AAAAADu372E=")</f>
        <v>#REF!</v>
      </c>
      <c r="CU21" t="e">
        <f>AND(#REF!,"AAAAADu372I=")</f>
        <v>#REF!</v>
      </c>
      <c r="CV21" t="e">
        <f>AND(#REF!,"AAAAADu372M=")</f>
        <v>#REF!</v>
      </c>
      <c r="CW21" t="e">
        <f>AND(#REF!,"AAAAADu372Q=")</f>
        <v>#REF!</v>
      </c>
      <c r="CX21" t="e">
        <f>AND(#REF!,"AAAAADu372U=")</f>
        <v>#REF!</v>
      </c>
      <c r="CY21" t="e">
        <f>AND(#REF!,"AAAAADu372Y=")</f>
        <v>#REF!</v>
      </c>
      <c r="CZ21" t="e">
        <f>AND(#REF!,"AAAAADu372c=")</f>
        <v>#REF!</v>
      </c>
      <c r="DA21" t="e">
        <f>AND(#REF!,"AAAAADu372g=")</f>
        <v>#REF!</v>
      </c>
      <c r="DB21" t="e">
        <f>AND(#REF!,"AAAAADu372k=")</f>
        <v>#REF!</v>
      </c>
      <c r="DC21" t="e">
        <f>AND(#REF!,"AAAAADu372o=")</f>
        <v>#REF!</v>
      </c>
      <c r="DD21" t="e">
        <f>AND(#REF!,"AAAAADu372s=")</f>
        <v>#REF!</v>
      </c>
      <c r="DE21" t="e">
        <f>AND(#REF!,"AAAAADu372w=")</f>
        <v>#REF!</v>
      </c>
      <c r="DF21" t="e">
        <f>IF(#REF!,"AAAAADu3720=",0)</f>
        <v>#REF!</v>
      </c>
      <c r="DG21" t="e">
        <f>IF(#REF!,"AAAAADu3724=",0)</f>
        <v>#REF!</v>
      </c>
      <c r="DH21" t="e">
        <f>IF(#REF!,"AAAAADu3728=",0)</f>
        <v>#REF!</v>
      </c>
      <c r="DI21" t="e">
        <f>IF(#REF!,"AAAAADu373A=",0)</f>
        <v>#REF!</v>
      </c>
      <c r="DJ21" t="e">
        <f>IF(#REF!,"AAAAADu373E=",0)</f>
        <v>#REF!</v>
      </c>
      <c r="DK21" t="e">
        <f>IF(#REF!,"AAAAADu373I=",0)</f>
        <v>#REF!</v>
      </c>
      <c r="DL21" t="e">
        <f>IF(#REF!,"AAAAADu373M=",0)</f>
        <v>#REF!</v>
      </c>
      <c r="DM21" t="e">
        <f>IF(#REF!,"AAAAADu373Q=",0)</f>
        <v>#REF!</v>
      </c>
      <c r="DN21" t="e">
        <f>IF(#REF!,"AAAAADu373U=",0)</f>
        <v>#REF!</v>
      </c>
      <c r="DO21" t="e">
        <f>IF(#REF!,"AAAAADu373Y=",0)</f>
        <v>#REF!</v>
      </c>
      <c r="DP21" t="e">
        <f>IF(#REF!,"AAAAADu373c=",0)</f>
        <v>#REF!</v>
      </c>
      <c r="DQ21" t="e">
        <f>IF(#REF!,"AAAAADu373g=",0)</f>
        <v>#REF!</v>
      </c>
      <c r="DR21" t="e">
        <f>IF(#REF!,"AAAAADu373k=",0)</f>
        <v>#REF!</v>
      </c>
      <c r="DS21" t="e">
        <f>IF(#REF!,"AAAAADu373o=",0)</f>
        <v>#REF!</v>
      </c>
      <c r="DT21" t="e">
        <f>IF(#REF!,"AAAAADu373s=",0)</f>
        <v>#REF!</v>
      </c>
      <c r="DU21" t="e">
        <f>IF(#REF!,"AAAAADu373w=",0)</f>
        <v>#REF!</v>
      </c>
      <c r="DV21" t="e">
        <f>IF(#REF!,"AAAAADu3730=",0)</f>
        <v>#REF!</v>
      </c>
      <c r="DW21" t="e">
        <f>IF(#REF!,"AAAAADu3734=",0)</f>
        <v>#REF!</v>
      </c>
      <c r="DX21" t="e">
        <f>IF(#REF!,"AAAAADu3738=",0)</f>
        <v>#REF!</v>
      </c>
      <c r="DY21" t="e">
        <f>IF(#REF!,"AAAAADu374A=",0)</f>
        <v>#REF!</v>
      </c>
      <c r="DZ21" t="e">
        <f>IF(#REF!,"AAAAADu374E=",0)</f>
        <v>#REF!</v>
      </c>
      <c r="EA21" t="e">
        <f>IF(#REF!,"AAAAADu374I=",0)</f>
        <v>#REF!</v>
      </c>
      <c r="EB21" t="e">
        <f>IF(#REF!,"AAAAADu374M=",0)</f>
        <v>#REF!</v>
      </c>
      <c r="EC21" t="e">
        <f>IF(#REF!,"AAAAADu374Q=",0)</f>
        <v>#REF!</v>
      </c>
      <c r="ED21" t="e">
        <f>IF(#REF!,"AAAAADu374U=",0)</f>
        <v>#REF!</v>
      </c>
      <c r="EE21" t="e">
        <f>IF(#REF!,"AAAAADu374Y=",0)</f>
        <v>#REF!</v>
      </c>
      <c r="EF21" t="e">
        <f>IF(#REF!,"AAAAADu374c=",0)</f>
        <v>#REF!</v>
      </c>
      <c r="EG21" t="e">
        <f>IF(#REF!,"AAAAADu374g=",0)</f>
        <v>#REF!</v>
      </c>
      <c r="EH21" t="e">
        <f>IF(#REF!,"AAAAADu374k=",0)</f>
        <v>#REF!</v>
      </c>
      <c r="EI21" t="e">
        <f>IF(#REF!,"AAAAADu374o=",0)</f>
        <v>#REF!</v>
      </c>
      <c r="EJ21" t="e">
        <f>IF(#REF!,"AAAAADu374s=",0)</f>
        <v>#REF!</v>
      </c>
      <c r="EK21" t="e">
        <f>IF(#REF!,"AAAAADu374w=",0)</f>
        <v>#REF!</v>
      </c>
      <c r="EL21" t="e">
        <f>IF(#REF!,"AAAAADu3740=",0)</f>
        <v>#REF!</v>
      </c>
      <c r="EM21" t="e">
        <f>IF(#REF!,"AAAAADu3744=",0)</f>
        <v>#REF!</v>
      </c>
      <c r="EN21" t="e">
        <f>IF(#REF!,"AAAAADu3748=",0)</f>
        <v>#REF!</v>
      </c>
      <c r="EO21" t="e">
        <f>IF(#REF!,"AAAAADu375A=",0)</f>
        <v>#REF!</v>
      </c>
      <c r="EP21" t="e">
        <f>IF(#REF!,"AAAAADu375E=",0)</f>
        <v>#REF!</v>
      </c>
      <c r="EQ21" t="e">
        <f>IF(#REF!,"AAAAADu375I=",0)</f>
        <v>#REF!</v>
      </c>
      <c r="ER21" t="e">
        <f>IF(#REF!,"AAAAADu375M=",0)</f>
        <v>#REF!</v>
      </c>
      <c r="ES21" t="e">
        <f>IF(#REF!,"AAAAADu375Q=",0)</f>
        <v>#REF!</v>
      </c>
      <c r="ET21" t="e">
        <f>IF(#REF!,"AAAAADu375U=",0)</f>
        <v>#REF!</v>
      </c>
      <c r="EU21" t="e">
        <f>IF(#REF!,"AAAAADu375Y=",0)</f>
        <v>#REF!</v>
      </c>
      <c r="EV21" t="e">
        <f>IF(#REF!,"AAAAADu375c=",0)</f>
        <v>#REF!</v>
      </c>
      <c r="EW21" t="e">
        <f>IF(#REF!,"AAAAADu375g=",0)</f>
        <v>#REF!</v>
      </c>
      <c r="EX21" t="e">
        <f>IF(#REF!,"AAAAADu375k=",0)</f>
        <v>#REF!</v>
      </c>
      <c r="EY21" t="e">
        <f>IF(#REF!,"AAAAADu375o=",0)</f>
        <v>#REF!</v>
      </c>
      <c r="EZ21" t="e">
        <f>IF(#REF!,"AAAAADu375s=",0)</f>
        <v>#REF!</v>
      </c>
      <c r="FA21" t="e">
        <f>IF(#REF!,"AAAAADu375w=",0)</f>
        <v>#REF!</v>
      </c>
      <c r="FB21" t="e">
        <f>IF(#REF!,"AAAAADu3750=",0)</f>
        <v>#REF!</v>
      </c>
      <c r="FC21" t="e">
        <f>IF(#REF!,"AAAAADu3754=",0)</f>
        <v>#REF!</v>
      </c>
      <c r="FD21" t="e">
        <f>IF(#REF!,"AAAAADu3758=",0)</f>
        <v>#REF!</v>
      </c>
      <c r="FE21" t="e">
        <f>IF(#REF!,"AAAAADu376A=",0)</f>
        <v>#REF!</v>
      </c>
      <c r="FF21" t="e">
        <f>IF(#REF!,"AAAAADu376E=",0)</f>
        <v>#REF!</v>
      </c>
      <c r="FG21" t="e">
        <f>IF(#REF!,"AAAAADu376I=",0)</f>
        <v>#REF!</v>
      </c>
      <c r="FH21" t="e">
        <f>IF(#REF!,"AAAAADu376M=",0)</f>
        <v>#REF!</v>
      </c>
      <c r="FI21" t="e">
        <f>IF(#REF!,"AAAAADu376Q=",0)</f>
        <v>#REF!</v>
      </c>
      <c r="FJ21" t="e">
        <f>IF(#REF!,"AAAAADu376U=",0)</f>
        <v>#REF!</v>
      </c>
      <c r="FK21" t="e">
        <f>IF(#REF!,"AAAAADu376Y=",0)</f>
        <v>#REF!</v>
      </c>
      <c r="FL21" t="e">
        <f>IF(#REF!,"AAAAADu376c=",0)</f>
        <v>#REF!</v>
      </c>
      <c r="FM21" t="e">
        <f>IF(#REF!,"AAAAADu376g=",0)</f>
        <v>#REF!</v>
      </c>
      <c r="FN21" t="e">
        <f>IF(#REF!,"AAAAADu376k=",0)</f>
        <v>#REF!</v>
      </c>
      <c r="FO21" t="e">
        <f>IF(#REF!,"AAAAADu376o=",0)</f>
        <v>#REF!</v>
      </c>
      <c r="FP21" t="e">
        <f>IF(#REF!,"AAAAADu376s=",0)</f>
        <v>#REF!</v>
      </c>
      <c r="FQ21" t="e">
        <f>IF(#REF!,"AAAAADu376w=",0)</f>
        <v>#REF!</v>
      </c>
      <c r="FR21" t="e">
        <f>IF(#REF!,"AAAAADu3760=",0)</f>
        <v>#REF!</v>
      </c>
      <c r="FS21" t="e">
        <f>IF(#REF!,"AAAAADu3764=",0)</f>
        <v>#REF!</v>
      </c>
      <c r="FT21" t="e">
        <f>IF(#REF!,"AAAAADu3768=",0)</f>
        <v>#REF!</v>
      </c>
      <c r="FU21" t="e">
        <f>IF(#REF!,"AAAAADu377A=",0)</f>
        <v>#REF!</v>
      </c>
      <c r="FV21" t="e">
        <f>IF(#REF!,"AAAAADu377E=",0)</f>
        <v>#REF!</v>
      </c>
      <c r="FW21" t="e">
        <f>IF(#REF!,"AAAAADu377I=",0)</f>
        <v>#REF!</v>
      </c>
      <c r="FX21" t="e">
        <f>IF(#REF!,"AAAAADu377M=",0)</f>
        <v>#REF!</v>
      </c>
      <c r="FY21" t="e">
        <f>IF(#REF!,"AAAAADu377Q=",0)</f>
        <v>#REF!</v>
      </c>
      <c r="FZ21" t="e">
        <f>IF(#REF!,"AAAAADu377U=",0)</f>
        <v>#REF!</v>
      </c>
      <c r="GA21" t="e">
        <f>IF(#REF!,"AAAAADu377Y=",0)</f>
        <v>#REF!</v>
      </c>
      <c r="GB21" t="e">
        <f>IF(#REF!,"AAAAADu377c=",0)</f>
        <v>#REF!</v>
      </c>
      <c r="GC21" t="e">
        <f>IF(#REF!,"AAAAADu377g=",0)</f>
        <v>#REF!</v>
      </c>
      <c r="GD21" t="e">
        <f>IF(#REF!,"AAAAADu377k=",0)</f>
        <v>#REF!</v>
      </c>
      <c r="GE21" t="e">
        <f>IF(#REF!,"AAAAADu377o=",0)</f>
        <v>#REF!</v>
      </c>
      <c r="GF21" t="e">
        <f>IF(#REF!,"AAAAADu377s=",0)</f>
        <v>#REF!</v>
      </c>
      <c r="GG21" t="e">
        <f>IF(#REF!,"AAAAADu377w=",0)</f>
        <v>#REF!</v>
      </c>
      <c r="GH21" t="e">
        <f>IF(#REF!,"AAAAADu3770=",0)</f>
        <v>#REF!</v>
      </c>
      <c r="GI21" t="e">
        <f>IF(#REF!,"AAAAADu3774=",0)</f>
        <v>#REF!</v>
      </c>
      <c r="GJ21" t="e">
        <f>IF(#REF!,"AAAAADu3778=",0)</f>
        <v>#REF!</v>
      </c>
      <c r="GK21" t="e">
        <f>IF(#REF!,"AAAAADu378A=",0)</f>
        <v>#REF!</v>
      </c>
      <c r="GL21" t="e">
        <f>IF(#REF!,"AAAAADu378E=",0)</f>
        <v>#REF!</v>
      </c>
      <c r="GM21" t="e">
        <f>IF(#REF!,"AAAAADu378I=",0)</f>
        <v>#REF!</v>
      </c>
      <c r="GN21" t="e">
        <f>IF(#REF!,"AAAAADu378M=",0)</f>
        <v>#REF!</v>
      </c>
      <c r="GO21" t="e">
        <f>IF(#REF!,"AAAAADu378Q=",0)</f>
        <v>#REF!</v>
      </c>
      <c r="GP21" t="e">
        <f>IF(#REF!,"AAAAADu378U=",0)</f>
        <v>#REF!</v>
      </c>
      <c r="GQ21" t="e">
        <f>IF(#REF!,"AAAAADu378Y=",0)</f>
        <v>#REF!</v>
      </c>
      <c r="GR21" t="e">
        <f>IF(#REF!,"AAAAADu378c=",0)</f>
        <v>#REF!</v>
      </c>
      <c r="GS21" t="e">
        <f>IF(#REF!,"AAAAADu378g=",0)</f>
        <v>#REF!</v>
      </c>
      <c r="GT21" t="e">
        <f>IF(#REF!,"AAAAADu378k=",0)</f>
        <v>#REF!</v>
      </c>
      <c r="GU21" t="e">
        <f>IF(#REF!,"AAAAADu378o=",0)</f>
        <v>#REF!</v>
      </c>
      <c r="GV21" t="e">
        <f>IF(#REF!,"AAAAADu378s=",0)</f>
        <v>#REF!</v>
      </c>
      <c r="GW21" t="e">
        <f>IF(#REF!,"AAAAADu378w=",0)</f>
        <v>#REF!</v>
      </c>
      <c r="GX21" t="e">
        <f>IF(#REF!,"AAAAADu3780=",0)</f>
        <v>#REF!</v>
      </c>
      <c r="GY21" t="e">
        <f>IF(#REF!,"AAAAADu3784=",0)</f>
        <v>#REF!</v>
      </c>
      <c r="GZ21" t="e">
        <f>IF(#REF!,"AAAAADu3788=",0)</f>
        <v>#REF!</v>
      </c>
      <c r="HA21" t="e">
        <f>IF(#REF!,"AAAAADu379A=",0)</f>
        <v>#REF!</v>
      </c>
      <c r="HB21" t="e">
        <f>IF(#REF!,"AAAAADu379E=",0)</f>
        <v>#REF!</v>
      </c>
      <c r="HC21" t="e">
        <f>IF(#REF!,"AAAAADu379I=",0)</f>
        <v>#REF!</v>
      </c>
      <c r="HD21" t="e">
        <f>IF(#REF!,"AAAAADu379M=",0)</f>
        <v>#REF!</v>
      </c>
      <c r="HE21" t="e">
        <f>IF(#REF!,"AAAAADu379Q=",0)</f>
        <v>#REF!</v>
      </c>
      <c r="HF21" t="e">
        <f>IF(#REF!,"AAAAADu379U=",0)</f>
        <v>#REF!</v>
      </c>
      <c r="HG21" t="e">
        <f>IF(#REF!,"AAAAADu379Y=",0)</f>
        <v>#REF!</v>
      </c>
      <c r="HH21" t="e">
        <f>IF(#REF!,"AAAAADu379c=",0)</f>
        <v>#REF!</v>
      </c>
      <c r="HI21" t="e">
        <f>IF(#REF!,"AAAAADu379g=",0)</f>
        <v>#REF!</v>
      </c>
      <c r="HJ21" t="e">
        <f>IF(#REF!,"AAAAADu379k=",0)</f>
        <v>#REF!</v>
      </c>
      <c r="HK21" t="e">
        <f>IF(#REF!,"AAAAADu379o=",0)</f>
        <v>#REF!</v>
      </c>
      <c r="HL21" t="e">
        <f>IF(#REF!,"AAAAADu379s=",0)</f>
        <v>#REF!</v>
      </c>
      <c r="HM21" t="e">
        <f>IF(#REF!,"AAAAADu379w=",0)</f>
        <v>#REF!</v>
      </c>
      <c r="HN21" t="e">
        <f>IF(#REF!,"AAAAADu3790=",0)</f>
        <v>#REF!</v>
      </c>
      <c r="HO21" t="e">
        <f>IF(#REF!,"AAAAADu3794=",0)</f>
        <v>#REF!</v>
      </c>
      <c r="HP21" t="e">
        <f>IF(#REF!,"AAAAADu3798=",0)</f>
        <v>#REF!</v>
      </c>
      <c r="HQ21" t="e">
        <f>IF(#REF!,"AAAAADu37+A=",0)</f>
        <v>#REF!</v>
      </c>
      <c r="HR21" t="e">
        <f>IF(#REF!,"AAAAADu37+E=",0)</f>
        <v>#REF!</v>
      </c>
      <c r="HS21" t="e">
        <f>IF(#REF!,"AAAAADu37+I=",0)</f>
        <v>#REF!</v>
      </c>
      <c r="HT21" t="e">
        <f>IF(#REF!,"AAAAADu37+M=",0)</f>
        <v>#REF!</v>
      </c>
      <c r="HU21" t="e">
        <f>IF(#REF!,"AAAAADu37+Q=",0)</f>
        <v>#REF!</v>
      </c>
      <c r="HV21" t="e">
        <f>IF(#REF!,"AAAAADu37+U=",0)</f>
        <v>#REF!</v>
      </c>
      <c r="HW21" t="e">
        <f>IF(#REF!,"AAAAADu37+Y=",0)</f>
        <v>#REF!</v>
      </c>
      <c r="HX21" t="e">
        <f>IF(#REF!,"AAAAADu37+c=",0)</f>
        <v>#REF!</v>
      </c>
      <c r="HY21" t="e">
        <f>IF(#REF!,"AAAAADu37+g=",0)</f>
        <v>#REF!</v>
      </c>
      <c r="HZ21" t="e">
        <f>IF(#REF!,"AAAAADu37+k=",0)</f>
        <v>#REF!</v>
      </c>
      <c r="IA21" t="e">
        <f>IF(#REF!,"AAAAADu37+o=",0)</f>
        <v>#REF!</v>
      </c>
      <c r="IB21" t="e">
        <f>IF(#REF!,"AAAAADu37+s=",0)</f>
        <v>#REF!</v>
      </c>
      <c r="IC21" t="e">
        <f>IF(#REF!,"AAAAADu37+w=",0)</f>
        <v>#REF!</v>
      </c>
      <c r="ID21" t="e">
        <f>IF(#REF!,"AAAAADu37+0=",0)</f>
        <v>#REF!</v>
      </c>
      <c r="IE21" t="e">
        <f>IF(#REF!,"AAAAADu37+4=",0)</f>
        <v>#REF!</v>
      </c>
      <c r="IF21" t="e">
        <f>IF(#REF!,"AAAAADu37+8=",0)</f>
        <v>#REF!</v>
      </c>
      <c r="IG21" t="e">
        <f>IF(#REF!,"AAAAADu37/A=",0)</f>
        <v>#REF!</v>
      </c>
      <c r="IH21" t="e">
        <f>IF(#REF!,"AAAAADu37/E=",0)</f>
        <v>#REF!</v>
      </c>
      <c r="II21" t="e">
        <f>IF(#REF!,"AAAAADu37/I=",0)</f>
        <v>#REF!</v>
      </c>
      <c r="IJ21" t="e">
        <f>IF(#REF!,"AAAAADu37/M=",0)</f>
        <v>#REF!</v>
      </c>
      <c r="IK21" t="e">
        <f>IF(#REF!,"AAAAADu37/Q=",0)</f>
        <v>#REF!</v>
      </c>
      <c r="IL21" t="e">
        <f>IF(#REF!,"AAAAADu37/U=",0)</f>
        <v>#REF!</v>
      </c>
      <c r="IM21" t="e">
        <f>IF(#REF!,"AAAAADu37/Y=",0)</f>
        <v>#REF!</v>
      </c>
      <c r="IN21" t="e">
        <f>IF(#REF!,"AAAAADu37/c=",0)</f>
        <v>#REF!</v>
      </c>
      <c r="IO21" t="e">
        <f>IF(#REF!,"AAAAADu37/g=",0)</f>
        <v>#REF!</v>
      </c>
      <c r="IP21" t="e">
        <f>IF(#REF!,"AAAAADu37/k=",0)</f>
        <v>#REF!</v>
      </c>
      <c r="IQ21" t="e">
        <f>IF(#REF!,"AAAAADu37/o=",0)</f>
        <v>#REF!</v>
      </c>
      <c r="IR21" t="e">
        <f>IF(#REF!,"AAAAADu37/s=",0)</f>
        <v>#REF!</v>
      </c>
      <c r="IS21" t="e">
        <f>IF(#REF!,"AAAAADu37/w=",0)</f>
        <v>#REF!</v>
      </c>
      <c r="IT21" t="e">
        <f>IF(#REF!,"AAAAADu37/0=",0)</f>
        <v>#REF!</v>
      </c>
      <c r="IU21" t="e">
        <f>IF(#REF!,"AAAAADu37/4=",0)</f>
        <v>#REF!</v>
      </c>
      <c r="IV21" t="e">
        <f>IF(#REF!,"AAAAADu37/8=",0)</f>
        <v>#REF!</v>
      </c>
    </row>
    <row r="22" spans="1:256">
      <c r="A22" t="e">
        <f>IF(#REF!,"AAAAAHk20wA=",0)</f>
        <v>#REF!</v>
      </c>
      <c r="B22" t="e">
        <f>IF(#REF!,"AAAAAHk20wE=",0)</f>
        <v>#REF!</v>
      </c>
      <c r="C22" t="e">
        <f>IF(#REF!,"AAAAAHk20wI=",0)</f>
        <v>#REF!</v>
      </c>
      <c r="D22" t="e">
        <f>IF(#REF!,"AAAAAHk20wM=",0)</f>
        <v>#REF!</v>
      </c>
      <c r="E22" t="e">
        <f>IF(#REF!,"AAAAAHk20wQ=",0)</f>
        <v>#REF!</v>
      </c>
      <c r="F22" t="e">
        <f>IF(#REF!,"AAAAAHk20wU=",0)</f>
        <v>#REF!</v>
      </c>
      <c r="G22" t="e">
        <f>IF(#REF!,"AAAAAHk20wY=",0)</f>
        <v>#REF!</v>
      </c>
      <c r="H22" t="e">
        <f>IF(#REF!,"AAAAAHk20wc=",0)</f>
        <v>#REF!</v>
      </c>
      <c r="I22" t="e">
        <f>IF(#REF!,"AAAAAHk20wg=",0)</f>
        <v>#REF!</v>
      </c>
      <c r="J22" t="e">
        <f>IF(#REF!,"AAAAAHk20wk=",0)</f>
        <v>#REF!</v>
      </c>
      <c r="K22" t="e">
        <f>IF(#REF!,"AAAAAHk20wo=",0)</f>
        <v>#REF!</v>
      </c>
      <c r="L22" t="e">
        <f>IF(#REF!,"AAAAAHk20ws=",0)</f>
        <v>#REF!</v>
      </c>
      <c r="M22" t="e">
        <f>IF(#REF!,"AAAAAHk20ww=",0)</f>
        <v>#REF!</v>
      </c>
      <c r="N22" t="e">
        <f>IF(#REF!,"AAAAAHk20w0=",0)</f>
        <v>#REF!</v>
      </c>
      <c r="O22" t="e">
        <f>IF(#REF!,"AAAAAHk20w4=",0)</f>
        <v>#REF!</v>
      </c>
      <c r="P22" t="e">
        <f>IF(#REF!,"AAAAAHk20w8=",0)</f>
        <v>#REF!</v>
      </c>
      <c r="Q22" t="e">
        <f>IF(#REF!,"AAAAAHk20xA=",0)</f>
        <v>#REF!</v>
      </c>
      <c r="R22" t="e">
        <f>IF(#REF!,"AAAAAHk20xE=",0)</f>
        <v>#REF!</v>
      </c>
      <c r="S22" t="e">
        <f>IF(#REF!,"AAAAAHk20xI=",0)</f>
        <v>#REF!</v>
      </c>
      <c r="T22" t="e">
        <f>IF(#REF!,"AAAAAHk20xM=",0)</f>
        <v>#REF!</v>
      </c>
      <c r="U22" t="e">
        <f>IF(#REF!,"AAAAAHk20xQ=",0)</f>
        <v>#REF!</v>
      </c>
      <c r="V22" t="e">
        <f>IF(#REF!,"AAAAAHk20xU=",0)</f>
        <v>#REF!</v>
      </c>
      <c r="W22" t="e">
        <f>IF(#REF!,"AAAAAHk20xY=",0)</f>
        <v>#REF!</v>
      </c>
      <c r="X22" t="e">
        <f>IF(#REF!,"AAAAAHk20xc=",0)</f>
        <v>#REF!</v>
      </c>
      <c r="Y22" t="e">
        <f>IF(#REF!,"AAAAAHk20xg=",0)</f>
        <v>#REF!</v>
      </c>
      <c r="Z22" t="e">
        <f>IF(#REF!,"AAAAAHk20xk=",0)</f>
        <v>#REF!</v>
      </c>
      <c r="AA22" t="e">
        <f>IF(#REF!,"AAAAAHk20xo=",0)</f>
        <v>#REF!</v>
      </c>
      <c r="AB22" t="e">
        <f>IF(#REF!,"AAAAAHk20xs=",0)</f>
        <v>#REF!</v>
      </c>
      <c r="AC22" t="e">
        <f>IF(#REF!,"AAAAAHk20xw=",0)</f>
        <v>#REF!</v>
      </c>
      <c r="AD22" t="e">
        <f>IF(#REF!,"AAAAAHk20x0=",0)</f>
        <v>#REF!</v>
      </c>
      <c r="AE22" t="e">
        <f>IF(#REF!,"AAAAAHk20x4=",0)</f>
        <v>#REF!</v>
      </c>
      <c r="AF22" t="e">
        <f>IF(#REF!,"AAAAAHk20x8=",0)</f>
        <v>#REF!</v>
      </c>
      <c r="AG22" t="e">
        <f>IF(#REF!,"AAAAAHk20yA=",0)</f>
        <v>#REF!</v>
      </c>
      <c r="AH22" t="e">
        <f>IF(#REF!,"AAAAAHk20yE=",0)</f>
        <v>#REF!</v>
      </c>
      <c r="AI22" t="e">
        <f>IF(#REF!,"AAAAAHk20yI=",0)</f>
        <v>#REF!</v>
      </c>
      <c r="AJ22" t="e">
        <f>IF(#REF!,"AAAAAHk20yM=",0)</f>
        <v>#REF!</v>
      </c>
      <c r="AK22" t="e">
        <f>IF(#REF!,"AAAAAHk20yQ=",0)</f>
        <v>#REF!</v>
      </c>
      <c r="AL22" t="e">
        <f>IF(#REF!,"AAAAAHk20yU=",0)</f>
        <v>#REF!</v>
      </c>
      <c r="AM22" t="e">
        <f>IF(#REF!,"AAAAAHk20yY=",0)</f>
        <v>#REF!</v>
      </c>
      <c r="AN22" t="e">
        <f>IF(#REF!,"AAAAAHk20yc=",0)</f>
        <v>#REF!</v>
      </c>
      <c r="AO22" t="e">
        <f>IF(#REF!,"AAAAAHk20yg=",0)</f>
        <v>#REF!</v>
      </c>
      <c r="AP22" t="e">
        <f>IF(#REF!,"AAAAAHk20yk=",0)</f>
        <v>#REF!</v>
      </c>
      <c r="AQ22" t="e">
        <f>IF(#REF!,"AAAAAHk20yo=",0)</f>
        <v>#REF!</v>
      </c>
      <c r="AR22" t="e">
        <f>IF(#REF!,"AAAAAHk20ys=",0)</f>
        <v>#REF!</v>
      </c>
      <c r="AS22" t="e">
        <f>IF(#REF!,"AAAAAHk20yw=",0)</f>
        <v>#REF!</v>
      </c>
      <c r="AT22" t="e">
        <f>IF(#REF!,"AAAAAHk20y0=",0)</f>
        <v>#REF!</v>
      </c>
      <c r="AU22" t="e">
        <f>IF(#REF!,"AAAAAHk20y4=",0)</f>
        <v>#REF!</v>
      </c>
      <c r="AV22" t="e">
        <f>IF(#REF!,"AAAAAHk20y8=",0)</f>
        <v>#REF!</v>
      </c>
      <c r="AW22" t="e">
        <f>IF(#REF!,"AAAAAHk20zA=",0)</f>
        <v>#REF!</v>
      </c>
      <c r="AX22" t="e">
        <f>IF(#REF!,"AAAAAHk20zE=",0)</f>
        <v>#REF!</v>
      </c>
      <c r="AY22" t="e">
        <f>AND(#REF!,"AAAAAHk20zI=")</f>
        <v>#REF!</v>
      </c>
      <c r="AZ22" t="e">
        <f>AND(#REF!,"AAAAAHk20zM=")</f>
        <v>#REF!</v>
      </c>
      <c r="BA22" t="e">
        <f>AND(#REF!,"AAAAAHk20zQ=")</f>
        <v>#REF!</v>
      </c>
      <c r="BB22" t="e">
        <f>AND(#REF!,"AAAAAHk20zU=")</f>
        <v>#REF!</v>
      </c>
      <c r="BC22" t="e">
        <f>AND(#REF!,"AAAAAHk20zY=")</f>
        <v>#REF!</v>
      </c>
      <c r="BD22" t="e">
        <f>AND(#REF!,"AAAAAHk20zc=")</f>
        <v>#REF!</v>
      </c>
      <c r="BE22" t="e">
        <f>AND(#REF!,"AAAAAHk20zg=")</f>
        <v>#REF!</v>
      </c>
      <c r="BF22" t="e">
        <f>AND(#REF!,"AAAAAHk20zk=")</f>
        <v>#REF!</v>
      </c>
      <c r="BG22" t="e">
        <f>AND(#REF!,"AAAAAHk20zo=")</f>
        <v>#REF!</v>
      </c>
      <c r="BH22" t="e">
        <f>AND(#REF!,"AAAAAHk20zs=")</f>
        <v>#REF!</v>
      </c>
      <c r="BI22" t="e">
        <f>AND(#REF!,"AAAAAHk20zw=")</f>
        <v>#REF!</v>
      </c>
      <c r="BJ22" t="e">
        <f>AND(#REF!,"AAAAAHk20z0=")</f>
        <v>#REF!</v>
      </c>
      <c r="BK22" t="e">
        <f>IF(#REF!,"AAAAAHk20z4=",0)</f>
        <v>#REF!</v>
      </c>
      <c r="BL22" t="e">
        <f>AND(#REF!,"AAAAAHk20z8=")</f>
        <v>#REF!</v>
      </c>
      <c r="BM22" t="e">
        <f>AND(#REF!,"AAAAAHk200A=")</f>
        <v>#REF!</v>
      </c>
      <c r="BN22" t="e">
        <f>AND(#REF!,"AAAAAHk200E=")</f>
        <v>#REF!</v>
      </c>
      <c r="BO22" t="e">
        <f>AND(#REF!,"AAAAAHk200I=")</f>
        <v>#REF!</v>
      </c>
      <c r="BP22" t="e">
        <f>AND(#REF!,"AAAAAHk200M=")</f>
        <v>#REF!</v>
      </c>
      <c r="BQ22" t="e">
        <f>AND(#REF!,"AAAAAHk200Q=")</f>
        <v>#REF!</v>
      </c>
      <c r="BR22" t="e">
        <f>AND(#REF!,"AAAAAHk200U=")</f>
        <v>#REF!</v>
      </c>
      <c r="BS22" t="e">
        <f>AND(#REF!,"AAAAAHk200Y=")</f>
        <v>#REF!</v>
      </c>
      <c r="BT22" t="e">
        <f>AND(#REF!,"AAAAAHk200c=")</f>
        <v>#REF!</v>
      </c>
      <c r="BU22" t="e">
        <f>AND(#REF!,"AAAAAHk200g=")</f>
        <v>#REF!</v>
      </c>
      <c r="BV22" t="e">
        <f>AND(#REF!,"AAAAAHk200k=")</f>
        <v>#REF!</v>
      </c>
      <c r="BW22" t="e">
        <f>AND(#REF!,"AAAAAHk200o=")</f>
        <v>#REF!</v>
      </c>
      <c r="BX22" t="e">
        <f>IF(#REF!,"AAAAAHk200s=",0)</f>
        <v>#REF!</v>
      </c>
      <c r="BY22" t="e">
        <f>AND(#REF!,"AAAAAHk200w=")</f>
        <v>#REF!</v>
      </c>
      <c r="BZ22" t="e">
        <f>AND(#REF!,"AAAAAHk2000=")</f>
        <v>#REF!</v>
      </c>
      <c r="CA22" t="e">
        <f>AND(#REF!,"AAAAAHk2004=")</f>
        <v>#REF!</v>
      </c>
      <c r="CB22" t="e">
        <f>AND(#REF!,"AAAAAHk2008=")</f>
        <v>#REF!</v>
      </c>
      <c r="CC22" t="e">
        <f>AND(#REF!,"AAAAAHk201A=")</f>
        <v>#REF!</v>
      </c>
      <c r="CD22" t="e">
        <f>AND(#REF!,"AAAAAHk201E=")</f>
        <v>#REF!</v>
      </c>
      <c r="CE22" t="e">
        <f>AND(#REF!,"AAAAAHk201I=")</f>
        <v>#REF!</v>
      </c>
      <c r="CF22" t="e">
        <f>AND(#REF!,"AAAAAHk201M=")</f>
        <v>#REF!</v>
      </c>
      <c r="CG22" t="e">
        <f>AND(#REF!,"AAAAAHk201Q=")</f>
        <v>#REF!</v>
      </c>
      <c r="CH22" t="e">
        <f>AND(#REF!,"AAAAAHk201U=")</f>
        <v>#REF!</v>
      </c>
      <c r="CI22" t="e">
        <f>AND(#REF!,"AAAAAHk201Y=")</f>
        <v>#REF!</v>
      </c>
      <c r="CJ22" t="e">
        <f>AND(#REF!,"AAAAAHk201c=")</f>
        <v>#REF!</v>
      </c>
      <c r="CK22" t="e">
        <f>IF(#REF!,"AAAAAHk201g=",0)</f>
        <v>#REF!</v>
      </c>
      <c r="CL22" t="e">
        <f>AND(#REF!,"AAAAAHk201k=")</f>
        <v>#REF!</v>
      </c>
      <c r="CM22" t="e">
        <f>AND(#REF!,"AAAAAHk201o=")</f>
        <v>#REF!</v>
      </c>
      <c r="CN22" t="e">
        <f>AND(#REF!,"AAAAAHk201s=")</f>
        <v>#REF!</v>
      </c>
      <c r="CO22" t="e">
        <f>AND(#REF!,"AAAAAHk201w=")</f>
        <v>#REF!</v>
      </c>
      <c r="CP22" t="e">
        <f>AND(#REF!,"AAAAAHk2010=")</f>
        <v>#REF!</v>
      </c>
      <c r="CQ22" t="e">
        <f>AND(#REF!,"AAAAAHk2014=")</f>
        <v>#REF!</v>
      </c>
      <c r="CR22" t="e">
        <f>AND(#REF!,"AAAAAHk2018=")</f>
        <v>#REF!</v>
      </c>
      <c r="CS22" t="e">
        <f>AND(#REF!,"AAAAAHk202A=")</f>
        <v>#REF!</v>
      </c>
      <c r="CT22" t="e">
        <f>AND(#REF!,"AAAAAHk202E=")</f>
        <v>#REF!</v>
      </c>
      <c r="CU22" t="e">
        <f>AND(#REF!,"AAAAAHk202I=")</f>
        <v>#REF!</v>
      </c>
      <c r="CV22" t="e">
        <f>AND(#REF!,"AAAAAHk202M=")</f>
        <v>#REF!</v>
      </c>
      <c r="CW22" t="e">
        <f>AND(#REF!,"AAAAAHk202Q=")</f>
        <v>#REF!</v>
      </c>
      <c r="CX22" t="e">
        <f>IF(#REF!,"AAAAAHk202U=",0)</f>
        <v>#REF!</v>
      </c>
      <c r="CY22" t="e">
        <f>AND(#REF!,"AAAAAHk202Y=")</f>
        <v>#REF!</v>
      </c>
      <c r="CZ22" t="e">
        <f>AND(#REF!,"AAAAAHk202c=")</f>
        <v>#REF!</v>
      </c>
      <c r="DA22" t="e">
        <f>AND(#REF!,"AAAAAHk202g=")</f>
        <v>#REF!</v>
      </c>
      <c r="DB22" t="e">
        <f>AND(#REF!,"AAAAAHk202k=")</f>
        <v>#REF!</v>
      </c>
      <c r="DC22" t="e">
        <f>AND(#REF!,"AAAAAHk202o=")</f>
        <v>#REF!</v>
      </c>
      <c r="DD22" t="e">
        <f>AND(#REF!,"AAAAAHk202s=")</f>
        <v>#REF!</v>
      </c>
      <c r="DE22" t="e">
        <f>AND(#REF!,"AAAAAHk202w=")</f>
        <v>#REF!</v>
      </c>
      <c r="DF22" t="e">
        <f>AND(#REF!,"AAAAAHk2020=")</f>
        <v>#REF!</v>
      </c>
      <c r="DG22" t="e">
        <f>AND(#REF!,"AAAAAHk2024=")</f>
        <v>#REF!</v>
      </c>
      <c r="DH22" t="e">
        <f>AND(#REF!,"AAAAAHk2028=")</f>
        <v>#REF!</v>
      </c>
      <c r="DI22" t="e">
        <f>AND(#REF!,"AAAAAHk203A=")</f>
        <v>#REF!</v>
      </c>
      <c r="DJ22" t="e">
        <f>AND(#REF!,"AAAAAHk203E=")</f>
        <v>#REF!</v>
      </c>
      <c r="DK22" t="e">
        <f>IF(#REF!,"AAAAAHk203I=",0)</f>
        <v>#REF!</v>
      </c>
      <c r="DL22" t="e">
        <f>AND(#REF!,"AAAAAHk203M=")</f>
        <v>#REF!</v>
      </c>
      <c r="DM22" t="e">
        <f>AND(#REF!,"AAAAAHk203Q=")</f>
        <v>#REF!</v>
      </c>
      <c r="DN22" t="e">
        <f>AND(#REF!,"AAAAAHk203U=")</f>
        <v>#REF!</v>
      </c>
      <c r="DO22" t="e">
        <f>AND(#REF!,"AAAAAHk203Y=")</f>
        <v>#REF!</v>
      </c>
      <c r="DP22" t="e">
        <f>AND(#REF!,"AAAAAHk203c=")</f>
        <v>#REF!</v>
      </c>
      <c r="DQ22" t="e">
        <f>AND(#REF!,"AAAAAHk203g=")</f>
        <v>#REF!</v>
      </c>
      <c r="DR22" t="e">
        <f>AND(#REF!,"AAAAAHk203k=")</f>
        <v>#REF!</v>
      </c>
      <c r="DS22" t="e">
        <f>AND(#REF!,"AAAAAHk203o=")</f>
        <v>#REF!</v>
      </c>
      <c r="DT22" t="e">
        <f>AND(#REF!,"AAAAAHk203s=")</f>
        <v>#REF!</v>
      </c>
      <c r="DU22" t="e">
        <f>AND(#REF!,"AAAAAHk203w=")</f>
        <v>#REF!</v>
      </c>
      <c r="DV22" t="e">
        <f>AND(#REF!,"AAAAAHk2030=")</f>
        <v>#REF!</v>
      </c>
      <c r="DW22" t="e">
        <f>AND(#REF!,"AAAAAHk2034=")</f>
        <v>#REF!</v>
      </c>
      <c r="DX22" t="e">
        <f>IF(#REF!,"AAAAAHk2038=",0)</f>
        <v>#REF!</v>
      </c>
      <c r="DY22" t="e">
        <f>AND(#REF!,"AAAAAHk204A=")</f>
        <v>#REF!</v>
      </c>
      <c r="DZ22" t="e">
        <f>AND(#REF!,"AAAAAHk204E=")</f>
        <v>#REF!</v>
      </c>
      <c r="EA22" t="e">
        <f>AND(#REF!,"AAAAAHk204I=")</f>
        <v>#REF!</v>
      </c>
      <c r="EB22" t="e">
        <f>AND(#REF!,"AAAAAHk204M=")</f>
        <v>#REF!</v>
      </c>
      <c r="EC22" t="e">
        <f>AND(#REF!,"AAAAAHk204Q=")</f>
        <v>#REF!</v>
      </c>
      <c r="ED22" t="e">
        <f>AND(#REF!,"AAAAAHk204U=")</f>
        <v>#REF!</v>
      </c>
      <c r="EE22" t="e">
        <f>AND(#REF!,"AAAAAHk204Y=")</f>
        <v>#REF!</v>
      </c>
      <c r="EF22" t="e">
        <f>AND(#REF!,"AAAAAHk204c=")</f>
        <v>#REF!</v>
      </c>
      <c r="EG22" t="e">
        <f>AND(#REF!,"AAAAAHk204g=")</f>
        <v>#REF!</v>
      </c>
      <c r="EH22" t="e">
        <f>AND(#REF!,"AAAAAHk204k=")</f>
        <v>#REF!</v>
      </c>
      <c r="EI22" t="e">
        <f>AND(#REF!,"AAAAAHk204o=")</f>
        <v>#REF!</v>
      </c>
      <c r="EJ22" t="e">
        <f>AND(#REF!,"AAAAAHk204s=")</f>
        <v>#REF!</v>
      </c>
      <c r="EK22" t="e">
        <f>IF(#REF!,"AAAAAHk204w=",0)</f>
        <v>#REF!</v>
      </c>
      <c r="EL22" t="e">
        <f>AND(#REF!,"AAAAAHk2040=")</f>
        <v>#REF!</v>
      </c>
      <c r="EM22" t="e">
        <f>AND(#REF!,"AAAAAHk2044=")</f>
        <v>#REF!</v>
      </c>
      <c r="EN22" t="e">
        <f>AND(#REF!,"AAAAAHk2048=")</f>
        <v>#REF!</v>
      </c>
      <c r="EO22" t="e">
        <f>AND(#REF!,"AAAAAHk205A=")</f>
        <v>#REF!</v>
      </c>
      <c r="EP22" t="e">
        <f>AND(#REF!,"AAAAAHk205E=")</f>
        <v>#REF!</v>
      </c>
      <c r="EQ22" t="e">
        <f>AND(#REF!,"AAAAAHk205I=")</f>
        <v>#REF!</v>
      </c>
      <c r="ER22" t="e">
        <f>AND(#REF!,"AAAAAHk205M=")</f>
        <v>#REF!</v>
      </c>
      <c r="ES22" t="e">
        <f>AND(#REF!,"AAAAAHk205Q=")</f>
        <v>#REF!</v>
      </c>
      <c r="ET22" t="e">
        <f>AND(#REF!,"AAAAAHk205U=")</f>
        <v>#REF!</v>
      </c>
      <c r="EU22" t="e">
        <f>AND(#REF!,"AAAAAHk205Y=")</f>
        <v>#REF!</v>
      </c>
      <c r="EV22" t="e">
        <f>AND(#REF!,"AAAAAHk205c=")</f>
        <v>#REF!</v>
      </c>
      <c r="EW22" t="e">
        <f>AND(#REF!,"AAAAAHk205g=")</f>
        <v>#REF!</v>
      </c>
      <c r="EX22" t="e">
        <f>IF(#REF!,"AAAAAHk205k=",0)</f>
        <v>#REF!</v>
      </c>
      <c r="EY22" t="e">
        <f>AND(#REF!,"AAAAAHk205o=")</f>
        <v>#REF!</v>
      </c>
      <c r="EZ22" t="e">
        <f>AND(#REF!,"AAAAAHk205s=")</f>
        <v>#REF!</v>
      </c>
      <c r="FA22" t="e">
        <f>AND(#REF!,"AAAAAHk205w=")</f>
        <v>#REF!</v>
      </c>
      <c r="FB22" t="e">
        <f>AND(#REF!,"AAAAAHk2050=")</f>
        <v>#REF!</v>
      </c>
      <c r="FC22" t="e">
        <f>AND(#REF!,"AAAAAHk2054=")</f>
        <v>#REF!</v>
      </c>
      <c r="FD22" t="e">
        <f>AND(#REF!,"AAAAAHk2058=")</f>
        <v>#REF!</v>
      </c>
      <c r="FE22" t="e">
        <f>AND(#REF!,"AAAAAHk206A=")</f>
        <v>#REF!</v>
      </c>
      <c r="FF22" t="e">
        <f>AND(#REF!,"AAAAAHk206E=")</f>
        <v>#REF!</v>
      </c>
      <c r="FG22" t="e">
        <f>AND(#REF!,"AAAAAHk206I=")</f>
        <v>#REF!</v>
      </c>
      <c r="FH22" t="e">
        <f>AND(#REF!,"AAAAAHk206M=")</f>
        <v>#REF!</v>
      </c>
      <c r="FI22" t="e">
        <f>AND(#REF!,"AAAAAHk206Q=")</f>
        <v>#REF!</v>
      </c>
      <c r="FJ22" t="e">
        <f>AND(#REF!,"AAAAAHk206U=")</f>
        <v>#REF!</v>
      </c>
      <c r="FK22" t="e">
        <f>IF(#REF!,"AAAAAHk206Y=",0)</f>
        <v>#REF!</v>
      </c>
      <c r="FL22" t="e">
        <f>AND(#REF!,"AAAAAHk206c=")</f>
        <v>#REF!</v>
      </c>
      <c r="FM22" t="e">
        <f>AND(#REF!,"AAAAAHk206g=")</f>
        <v>#REF!</v>
      </c>
      <c r="FN22" t="e">
        <f>AND(#REF!,"AAAAAHk206k=")</f>
        <v>#REF!</v>
      </c>
      <c r="FO22" t="e">
        <f>AND(#REF!,"AAAAAHk206o=")</f>
        <v>#REF!</v>
      </c>
      <c r="FP22" t="e">
        <f>AND(#REF!,"AAAAAHk206s=")</f>
        <v>#REF!</v>
      </c>
      <c r="FQ22" t="e">
        <f>AND(#REF!,"AAAAAHk206w=")</f>
        <v>#REF!</v>
      </c>
      <c r="FR22" t="e">
        <f>AND(#REF!,"AAAAAHk2060=")</f>
        <v>#REF!</v>
      </c>
      <c r="FS22" t="e">
        <f>AND(#REF!,"AAAAAHk2064=")</f>
        <v>#REF!</v>
      </c>
      <c r="FT22" t="e">
        <f>AND(#REF!,"AAAAAHk2068=")</f>
        <v>#REF!</v>
      </c>
      <c r="FU22" t="e">
        <f>AND(#REF!,"AAAAAHk207A=")</f>
        <v>#REF!</v>
      </c>
      <c r="FV22" t="e">
        <f>AND(#REF!,"AAAAAHk207E=")</f>
        <v>#REF!</v>
      </c>
      <c r="FW22" t="e">
        <f>AND(#REF!,"AAAAAHk207I=")</f>
        <v>#REF!</v>
      </c>
      <c r="FX22" t="e">
        <f>IF(#REF!,"AAAAAHk207M=",0)</f>
        <v>#REF!</v>
      </c>
      <c r="FY22" t="e">
        <f>AND(#REF!,"AAAAAHk207Q=")</f>
        <v>#REF!</v>
      </c>
      <c r="FZ22" t="e">
        <f>AND(#REF!,"AAAAAHk207U=")</f>
        <v>#REF!</v>
      </c>
      <c r="GA22" t="e">
        <f>AND(#REF!,"AAAAAHk207Y=")</f>
        <v>#REF!</v>
      </c>
      <c r="GB22" t="e">
        <f>AND(#REF!,"AAAAAHk207c=")</f>
        <v>#REF!</v>
      </c>
      <c r="GC22" t="e">
        <f>AND(#REF!,"AAAAAHk207g=")</f>
        <v>#REF!</v>
      </c>
      <c r="GD22" t="e">
        <f>AND(#REF!,"AAAAAHk207k=")</f>
        <v>#REF!</v>
      </c>
      <c r="GE22" t="e">
        <f>AND(#REF!,"AAAAAHk207o=")</f>
        <v>#REF!</v>
      </c>
      <c r="GF22" t="e">
        <f>AND(#REF!,"AAAAAHk207s=")</f>
        <v>#REF!</v>
      </c>
      <c r="GG22" t="e">
        <f>AND(#REF!,"AAAAAHk207w=")</f>
        <v>#REF!</v>
      </c>
      <c r="GH22" t="e">
        <f>AND(#REF!,"AAAAAHk2070=")</f>
        <v>#REF!</v>
      </c>
      <c r="GI22" t="e">
        <f>AND(#REF!,"AAAAAHk2074=")</f>
        <v>#REF!</v>
      </c>
      <c r="GJ22" t="e">
        <f>AND(#REF!,"AAAAAHk2078=")</f>
        <v>#REF!</v>
      </c>
      <c r="GK22" t="e">
        <f>IF(#REF!,"AAAAAHk208A=",0)</f>
        <v>#REF!</v>
      </c>
      <c r="GL22" t="e">
        <f>AND(#REF!,"AAAAAHk208E=")</f>
        <v>#REF!</v>
      </c>
      <c r="GM22" t="e">
        <f>AND(#REF!,"AAAAAHk208I=")</f>
        <v>#REF!</v>
      </c>
      <c r="GN22" t="e">
        <f>AND(#REF!,"AAAAAHk208M=")</f>
        <v>#REF!</v>
      </c>
      <c r="GO22" t="e">
        <f>AND(#REF!,"AAAAAHk208Q=")</f>
        <v>#REF!</v>
      </c>
      <c r="GP22" t="e">
        <f>AND(#REF!,"AAAAAHk208U=")</f>
        <v>#REF!</v>
      </c>
      <c r="GQ22" t="e">
        <f>AND(#REF!,"AAAAAHk208Y=")</f>
        <v>#REF!</v>
      </c>
      <c r="GR22" t="e">
        <f>AND(#REF!,"AAAAAHk208c=")</f>
        <v>#REF!</v>
      </c>
      <c r="GS22" t="e">
        <f>AND(#REF!,"AAAAAHk208g=")</f>
        <v>#REF!</v>
      </c>
      <c r="GT22" t="e">
        <f>AND(#REF!,"AAAAAHk208k=")</f>
        <v>#REF!</v>
      </c>
      <c r="GU22" t="e">
        <f>AND(#REF!,"AAAAAHk208o=")</f>
        <v>#REF!</v>
      </c>
      <c r="GV22" t="e">
        <f>AND(#REF!,"AAAAAHk208s=")</f>
        <v>#REF!</v>
      </c>
      <c r="GW22" t="e">
        <f>AND(#REF!,"AAAAAHk208w=")</f>
        <v>#REF!</v>
      </c>
      <c r="GX22" t="e">
        <f>IF(#REF!,"AAAAAHk2080=",0)</f>
        <v>#REF!</v>
      </c>
      <c r="GY22" t="e">
        <f>AND(#REF!,"AAAAAHk2084=")</f>
        <v>#REF!</v>
      </c>
      <c r="GZ22" t="e">
        <f>AND(#REF!,"AAAAAHk2088=")</f>
        <v>#REF!</v>
      </c>
      <c r="HA22" t="e">
        <f>AND(#REF!,"AAAAAHk209A=")</f>
        <v>#REF!</v>
      </c>
      <c r="HB22" t="e">
        <f>AND(#REF!,"AAAAAHk209E=")</f>
        <v>#REF!</v>
      </c>
      <c r="HC22" t="e">
        <f>AND(#REF!,"AAAAAHk209I=")</f>
        <v>#REF!</v>
      </c>
      <c r="HD22" t="e">
        <f>AND(#REF!,"AAAAAHk209M=")</f>
        <v>#REF!</v>
      </c>
      <c r="HE22" t="e">
        <f>AND(#REF!,"AAAAAHk209Q=")</f>
        <v>#REF!</v>
      </c>
      <c r="HF22" t="e">
        <f>AND(#REF!,"AAAAAHk209U=")</f>
        <v>#REF!</v>
      </c>
      <c r="HG22" t="e">
        <f>AND(#REF!,"AAAAAHk209Y=")</f>
        <v>#REF!</v>
      </c>
      <c r="HH22" t="e">
        <f>AND(#REF!,"AAAAAHk209c=")</f>
        <v>#REF!</v>
      </c>
      <c r="HI22" t="e">
        <f>AND(#REF!,"AAAAAHk209g=")</f>
        <v>#REF!</v>
      </c>
      <c r="HJ22" t="e">
        <f>AND(#REF!,"AAAAAHk209k=")</f>
        <v>#REF!</v>
      </c>
      <c r="HK22" t="e">
        <f>IF(#REF!,"AAAAAHk209o=",0)</f>
        <v>#REF!</v>
      </c>
      <c r="HL22" t="e">
        <f>AND(#REF!,"AAAAAHk209s=")</f>
        <v>#REF!</v>
      </c>
      <c r="HM22" t="e">
        <f>AND(#REF!,"AAAAAHk209w=")</f>
        <v>#REF!</v>
      </c>
      <c r="HN22" t="e">
        <f>AND(#REF!,"AAAAAHk2090=")</f>
        <v>#REF!</v>
      </c>
      <c r="HO22" t="e">
        <f>AND(#REF!,"AAAAAHk2094=")</f>
        <v>#REF!</v>
      </c>
      <c r="HP22" t="e">
        <f>AND(#REF!,"AAAAAHk2098=")</f>
        <v>#REF!</v>
      </c>
      <c r="HQ22" t="e">
        <f>AND(#REF!,"AAAAAHk20+A=")</f>
        <v>#REF!</v>
      </c>
      <c r="HR22" t="e">
        <f>AND(#REF!,"AAAAAHk20+E=")</f>
        <v>#REF!</v>
      </c>
      <c r="HS22" t="e">
        <f>AND(#REF!,"AAAAAHk20+I=")</f>
        <v>#REF!</v>
      </c>
      <c r="HT22" t="e">
        <f>AND(#REF!,"AAAAAHk20+M=")</f>
        <v>#REF!</v>
      </c>
      <c r="HU22" t="e">
        <f>AND(#REF!,"AAAAAHk20+Q=")</f>
        <v>#REF!</v>
      </c>
      <c r="HV22" t="e">
        <f>AND(#REF!,"AAAAAHk20+U=")</f>
        <v>#REF!</v>
      </c>
      <c r="HW22" t="e">
        <f>AND(#REF!,"AAAAAHk20+Y=")</f>
        <v>#REF!</v>
      </c>
      <c r="HX22" t="e">
        <f>IF(#REF!,"AAAAAHk20+c=",0)</f>
        <v>#REF!</v>
      </c>
      <c r="HY22" t="e">
        <f>AND(#REF!,"AAAAAHk20+g=")</f>
        <v>#REF!</v>
      </c>
      <c r="HZ22" t="e">
        <f>AND(#REF!,"AAAAAHk20+k=")</f>
        <v>#REF!</v>
      </c>
      <c r="IA22" t="e">
        <f>AND(#REF!,"AAAAAHk20+o=")</f>
        <v>#REF!</v>
      </c>
      <c r="IB22" t="e">
        <f>AND(#REF!,"AAAAAHk20+s=")</f>
        <v>#REF!</v>
      </c>
      <c r="IC22" t="e">
        <f>AND(#REF!,"AAAAAHk20+w=")</f>
        <v>#REF!</v>
      </c>
      <c r="ID22" t="e">
        <f>AND(#REF!,"AAAAAHk20+0=")</f>
        <v>#REF!</v>
      </c>
      <c r="IE22" t="e">
        <f>AND(#REF!,"AAAAAHk20+4=")</f>
        <v>#REF!</v>
      </c>
      <c r="IF22" t="e">
        <f>AND(#REF!,"AAAAAHk20+8=")</f>
        <v>#REF!</v>
      </c>
      <c r="IG22" t="e">
        <f>AND(#REF!,"AAAAAHk20/A=")</f>
        <v>#REF!</v>
      </c>
      <c r="IH22" t="e">
        <f>AND(#REF!,"AAAAAHk20/E=")</f>
        <v>#REF!</v>
      </c>
      <c r="II22" t="e">
        <f>AND(#REF!,"AAAAAHk20/I=")</f>
        <v>#REF!</v>
      </c>
      <c r="IJ22" t="e">
        <f>AND(#REF!,"AAAAAHk20/M=")</f>
        <v>#REF!</v>
      </c>
      <c r="IK22" t="e">
        <f>IF(#REF!,"AAAAAHk20/Q=",0)</f>
        <v>#REF!</v>
      </c>
      <c r="IL22" t="e">
        <f>AND(#REF!,"AAAAAHk20/U=")</f>
        <v>#REF!</v>
      </c>
      <c r="IM22" t="e">
        <f>AND(#REF!,"AAAAAHk20/Y=")</f>
        <v>#REF!</v>
      </c>
      <c r="IN22" t="e">
        <f>AND(#REF!,"AAAAAHk20/c=")</f>
        <v>#REF!</v>
      </c>
      <c r="IO22" t="e">
        <f>AND(#REF!,"AAAAAHk20/g=")</f>
        <v>#REF!</v>
      </c>
      <c r="IP22" t="e">
        <f>AND(#REF!,"AAAAAHk20/k=")</f>
        <v>#REF!</v>
      </c>
      <c r="IQ22" t="e">
        <f>AND(#REF!,"AAAAAHk20/o=")</f>
        <v>#REF!</v>
      </c>
      <c r="IR22" t="e">
        <f>AND(#REF!,"AAAAAHk20/s=")</f>
        <v>#REF!</v>
      </c>
      <c r="IS22" t="e">
        <f>AND(#REF!,"AAAAAHk20/w=")</f>
        <v>#REF!</v>
      </c>
      <c r="IT22" t="e">
        <f>AND(#REF!,"AAAAAHk20/0=")</f>
        <v>#REF!</v>
      </c>
      <c r="IU22" t="e">
        <f>AND(#REF!,"AAAAAHk20/4=")</f>
        <v>#REF!</v>
      </c>
      <c r="IV22" t="e">
        <f>AND(#REF!,"AAAAAHk20/8=")</f>
        <v>#REF!</v>
      </c>
    </row>
    <row r="23" spans="1:256">
      <c r="A23" t="e">
        <f>AND(#REF!,"AAAAAGl3/QA=")</f>
        <v>#REF!</v>
      </c>
      <c r="B23" t="e">
        <f>IF(#REF!,"AAAAAGl3/QE=",0)</f>
        <v>#REF!</v>
      </c>
      <c r="C23" t="e">
        <f>AND(#REF!,"AAAAAGl3/QI=")</f>
        <v>#REF!</v>
      </c>
      <c r="D23" t="e">
        <f>AND(#REF!,"AAAAAGl3/QM=")</f>
        <v>#REF!</v>
      </c>
      <c r="E23" t="e">
        <f>AND(#REF!,"AAAAAGl3/QQ=")</f>
        <v>#REF!</v>
      </c>
      <c r="F23" t="e">
        <f>AND(#REF!,"AAAAAGl3/QU=")</f>
        <v>#REF!</v>
      </c>
      <c r="G23" t="e">
        <f>AND(#REF!,"AAAAAGl3/QY=")</f>
        <v>#REF!</v>
      </c>
      <c r="H23" t="e">
        <f>AND(#REF!,"AAAAAGl3/Qc=")</f>
        <v>#REF!</v>
      </c>
      <c r="I23" t="e">
        <f>AND(#REF!,"AAAAAGl3/Qg=")</f>
        <v>#REF!</v>
      </c>
      <c r="J23" t="e">
        <f>AND(#REF!,"AAAAAGl3/Qk=")</f>
        <v>#REF!</v>
      </c>
      <c r="K23" t="e">
        <f>AND(#REF!,"AAAAAGl3/Qo=")</f>
        <v>#REF!</v>
      </c>
      <c r="L23" t="e">
        <f>AND(#REF!,"AAAAAGl3/Qs=")</f>
        <v>#REF!</v>
      </c>
      <c r="M23" t="e">
        <f>AND(#REF!,"AAAAAGl3/Qw=")</f>
        <v>#REF!</v>
      </c>
      <c r="N23" t="e">
        <f>AND(#REF!,"AAAAAGl3/Q0=")</f>
        <v>#REF!</v>
      </c>
      <c r="O23" t="e">
        <f>IF(#REF!,"AAAAAGl3/Q4=",0)</f>
        <v>#REF!</v>
      </c>
      <c r="P23" t="e">
        <f>AND(#REF!,"AAAAAGl3/Q8=")</f>
        <v>#REF!</v>
      </c>
      <c r="Q23" t="e">
        <f>AND(#REF!,"AAAAAGl3/RA=")</f>
        <v>#REF!</v>
      </c>
      <c r="R23" t="e">
        <f>AND(#REF!,"AAAAAGl3/RE=")</f>
        <v>#REF!</v>
      </c>
      <c r="S23" t="e">
        <f>AND(#REF!,"AAAAAGl3/RI=")</f>
        <v>#REF!</v>
      </c>
      <c r="T23" t="e">
        <f>AND(#REF!,"AAAAAGl3/RM=")</f>
        <v>#REF!</v>
      </c>
      <c r="U23" t="e">
        <f>AND(#REF!,"AAAAAGl3/RQ=")</f>
        <v>#REF!</v>
      </c>
      <c r="V23" t="e">
        <f>AND(#REF!,"AAAAAGl3/RU=")</f>
        <v>#REF!</v>
      </c>
      <c r="W23" t="e">
        <f>AND(#REF!,"AAAAAGl3/RY=")</f>
        <v>#REF!</v>
      </c>
      <c r="X23" t="e">
        <f>AND(#REF!,"AAAAAGl3/Rc=")</f>
        <v>#REF!</v>
      </c>
      <c r="Y23" t="e">
        <f>AND(#REF!,"AAAAAGl3/Rg=")</f>
        <v>#REF!</v>
      </c>
      <c r="Z23" t="e">
        <f>AND(#REF!,"AAAAAGl3/Rk=")</f>
        <v>#REF!</v>
      </c>
      <c r="AA23" t="e">
        <f>AND(#REF!,"AAAAAGl3/Ro=")</f>
        <v>#REF!</v>
      </c>
      <c r="AB23" t="e">
        <f>IF(#REF!,"AAAAAGl3/Rs=",0)</f>
        <v>#REF!</v>
      </c>
      <c r="AC23" t="e">
        <f>AND(#REF!,"AAAAAGl3/Rw=")</f>
        <v>#REF!</v>
      </c>
      <c r="AD23" t="e">
        <f>AND(#REF!,"AAAAAGl3/R0=")</f>
        <v>#REF!</v>
      </c>
      <c r="AE23" t="e">
        <f>AND(#REF!,"AAAAAGl3/R4=")</f>
        <v>#REF!</v>
      </c>
      <c r="AF23" t="e">
        <f>AND(#REF!,"AAAAAGl3/R8=")</f>
        <v>#REF!</v>
      </c>
      <c r="AG23" t="e">
        <f>AND(#REF!,"AAAAAGl3/SA=")</f>
        <v>#REF!</v>
      </c>
      <c r="AH23" t="e">
        <f>AND(#REF!,"AAAAAGl3/SE=")</f>
        <v>#REF!</v>
      </c>
      <c r="AI23" t="e">
        <f>AND(#REF!,"AAAAAGl3/SI=")</f>
        <v>#REF!</v>
      </c>
      <c r="AJ23" t="e">
        <f>AND(#REF!,"AAAAAGl3/SM=")</f>
        <v>#REF!</v>
      </c>
      <c r="AK23" t="e">
        <f>AND(#REF!,"AAAAAGl3/SQ=")</f>
        <v>#REF!</v>
      </c>
      <c r="AL23" t="e">
        <f>AND(#REF!,"AAAAAGl3/SU=")</f>
        <v>#REF!</v>
      </c>
      <c r="AM23" t="e">
        <f>AND(#REF!,"AAAAAGl3/SY=")</f>
        <v>#REF!</v>
      </c>
      <c r="AN23" t="e">
        <f>AND(#REF!,"AAAAAGl3/Sc=")</f>
        <v>#REF!</v>
      </c>
      <c r="AO23" t="e">
        <f>IF(#REF!,"AAAAAGl3/Sg=",0)</f>
        <v>#REF!</v>
      </c>
      <c r="AP23" t="e">
        <f>AND(#REF!,"AAAAAGl3/Sk=")</f>
        <v>#REF!</v>
      </c>
      <c r="AQ23" t="e">
        <f>AND(#REF!,"AAAAAGl3/So=")</f>
        <v>#REF!</v>
      </c>
      <c r="AR23" t="e">
        <f>AND(#REF!,"AAAAAGl3/Ss=")</f>
        <v>#REF!</v>
      </c>
      <c r="AS23" t="e">
        <f>AND(#REF!,"AAAAAGl3/Sw=")</f>
        <v>#REF!</v>
      </c>
      <c r="AT23" t="e">
        <f>AND(#REF!,"AAAAAGl3/S0=")</f>
        <v>#REF!</v>
      </c>
      <c r="AU23" t="e">
        <f>AND(#REF!,"AAAAAGl3/S4=")</f>
        <v>#REF!</v>
      </c>
      <c r="AV23" t="e">
        <f>AND(#REF!,"AAAAAGl3/S8=")</f>
        <v>#REF!</v>
      </c>
      <c r="AW23" t="e">
        <f>AND(#REF!,"AAAAAGl3/TA=")</f>
        <v>#REF!</v>
      </c>
      <c r="AX23" t="e">
        <f>AND(#REF!,"AAAAAGl3/TE=")</f>
        <v>#REF!</v>
      </c>
      <c r="AY23" t="e">
        <f>AND(#REF!,"AAAAAGl3/TI=")</f>
        <v>#REF!</v>
      </c>
      <c r="AZ23" t="e">
        <f>AND(#REF!,"AAAAAGl3/TM=")</f>
        <v>#REF!</v>
      </c>
      <c r="BA23" t="e">
        <f>AND(#REF!,"AAAAAGl3/TQ=")</f>
        <v>#REF!</v>
      </c>
      <c r="BB23" t="e">
        <f>IF(#REF!,"AAAAAGl3/TU=",0)</f>
        <v>#REF!</v>
      </c>
      <c r="BC23" t="e">
        <f>AND(#REF!,"AAAAAGl3/TY=")</f>
        <v>#REF!</v>
      </c>
      <c r="BD23" t="e">
        <f>AND(#REF!,"AAAAAGl3/Tc=")</f>
        <v>#REF!</v>
      </c>
      <c r="BE23" t="e">
        <f>AND(#REF!,"AAAAAGl3/Tg=")</f>
        <v>#REF!</v>
      </c>
      <c r="BF23" t="e">
        <f>AND(#REF!,"AAAAAGl3/Tk=")</f>
        <v>#REF!</v>
      </c>
      <c r="BG23" t="e">
        <f>AND(#REF!,"AAAAAGl3/To=")</f>
        <v>#REF!</v>
      </c>
      <c r="BH23" t="e">
        <f>AND(#REF!,"AAAAAGl3/Ts=")</f>
        <v>#REF!</v>
      </c>
      <c r="BI23" t="e">
        <f>AND(#REF!,"AAAAAGl3/Tw=")</f>
        <v>#REF!</v>
      </c>
      <c r="BJ23" t="e">
        <f>AND(#REF!,"AAAAAGl3/T0=")</f>
        <v>#REF!</v>
      </c>
      <c r="BK23" t="e">
        <f>AND(#REF!,"AAAAAGl3/T4=")</f>
        <v>#REF!</v>
      </c>
      <c r="BL23" t="e">
        <f>AND(#REF!,"AAAAAGl3/T8=")</f>
        <v>#REF!</v>
      </c>
      <c r="BM23" t="e">
        <f>AND(#REF!,"AAAAAGl3/UA=")</f>
        <v>#REF!</v>
      </c>
      <c r="BN23" t="e">
        <f>AND(#REF!,"AAAAAGl3/UE=")</f>
        <v>#REF!</v>
      </c>
      <c r="BO23" t="e">
        <f>IF(#REF!,"AAAAAGl3/UI=",0)</f>
        <v>#REF!</v>
      </c>
      <c r="BP23" t="e">
        <f>AND(#REF!,"AAAAAGl3/UM=")</f>
        <v>#REF!</v>
      </c>
      <c r="BQ23" t="e">
        <f>AND(#REF!,"AAAAAGl3/UQ=")</f>
        <v>#REF!</v>
      </c>
      <c r="BR23" t="e">
        <f>AND(#REF!,"AAAAAGl3/UU=")</f>
        <v>#REF!</v>
      </c>
      <c r="BS23" t="e">
        <f>AND(#REF!,"AAAAAGl3/UY=")</f>
        <v>#REF!</v>
      </c>
      <c r="BT23" t="e">
        <f>AND(#REF!,"AAAAAGl3/Uc=")</f>
        <v>#REF!</v>
      </c>
      <c r="BU23" t="e">
        <f>AND(#REF!,"AAAAAGl3/Ug=")</f>
        <v>#REF!</v>
      </c>
      <c r="BV23" t="e">
        <f>AND(#REF!,"AAAAAGl3/Uk=")</f>
        <v>#REF!</v>
      </c>
      <c r="BW23" t="e">
        <f>AND(#REF!,"AAAAAGl3/Uo=")</f>
        <v>#REF!</v>
      </c>
      <c r="BX23" t="e">
        <f>AND(#REF!,"AAAAAGl3/Us=")</f>
        <v>#REF!</v>
      </c>
      <c r="BY23" t="e">
        <f>AND(#REF!,"AAAAAGl3/Uw=")</f>
        <v>#REF!</v>
      </c>
      <c r="BZ23" t="e">
        <f>AND(#REF!,"AAAAAGl3/U0=")</f>
        <v>#REF!</v>
      </c>
      <c r="CA23" t="e">
        <f>AND(#REF!,"AAAAAGl3/U4=")</f>
        <v>#REF!</v>
      </c>
      <c r="CB23" t="e">
        <f>IF(#REF!,"AAAAAGl3/U8=",0)</f>
        <v>#REF!</v>
      </c>
      <c r="CC23" t="e">
        <f>AND(#REF!,"AAAAAGl3/VA=")</f>
        <v>#REF!</v>
      </c>
      <c r="CD23" t="e">
        <f>AND(#REF!,"AAAAAGl3/VE=")</f>
        <v>#REF!</v>
      </c>
      <c r="CE23" t="e">
        <f>AND(#REF!,"AAAAAGl3/VI=")</f>
        <v>#REF!</v>
      </c>
      <c r="CF23" t="e">
        <f>AND(#REF!,"AAAAAGl3/VM=")</f>
        <v>#REF!</v>
      </c>
      <c r="CG23" t="e">
        <f>AND(#REF!,"AAAAAGl3/VQ=")</f>
        <v>#REF!</v>
      </c>
      <c r="CH23" t="e">
        <f>AND(#REF!,"AAAAAGl3/VU=")</f>
        <v>#REF!</v>
      </c>
      <c r="CI23" t="e">
        <f>AND(#REF!,"AAAAAGl3/VY=")</f>
        <v>#REF!</v>
      </c>
      <c r="CJ23" t="e">
        <f>AND(#REF!,"AAAAAGl3/Vc=")</f>
        <v>#REF!</v>
      </c>
      <c r="CK23" t="e">
        <f>AND(#REF!,"AAAAAGl3/Vg=")</f>
        <v>#REF!</v>
      </c>
      <c r="CL23" t="e">
        <f>AND(#REF!,"AAAAAGl3/Vk=")</f>
        <v>#REF!</v>
      </c>
      <c r="CM23" t="e">
        <f>AND(#REF!,"AAAAAGl3/Vo=")</f>
        <v>#REF!</v>
      </c>
      <c r="CN23" t="e">
        <f>AND(#REF!,"AAAAAGl3/Vs=")</f>
        <v>#REF!</v>
      </c>
      <c r="CO23" t="e">
        <f>IF(#REF!,"AAAAAGl3/Vw=",0)</f>
        <v>#REF!</v>
      </c>
      <c r="CP23" t="e">
        <f>AND(#REF!,"AAAAAGl3/V0=")</f>
        <v>#REF!</v>
      </c>
      <c r="CQ23" t="e">
        <f>AND(#REF!,"AAAAAGl3/V4=")</f>
        <v>#REF!</v>
      </c>
      <c r="CR23" t="e">
        <f>AND(#REF!,"AAAAAGl3/V8=")</f>
        <v>#REF!</v>
      </c>
      <c r="CS23" t="e">
        <f>AND(#REF!,"AAAAAGl3/WA=")</f>
        <v>#REF!</v>
      </c>
      <c r="CT23" t="e">
        <f>AND(#REF!,"AAAAAGl3/WE=")</f>
        <v>#REF!</v>
      </c>
      <c r="CU23" t="e">
        <f>AND(#REF!,"AAAAAGl3/WI=")</f>
        <v>#REF!</v>
      </c>
      <c r="CV23" t="e">
        <f>AND(#REF!,"AAAAAGl3/WM=")</f>
        <v>#REF!</v>
      </c>
      <c r="CW23" t="e">
        <f>AND(#REF!,"AAAAAGl3/WQ=")</f>
        <v>#REF!</v>
      </c>
      <c r="CX23" t="e">
        <f>AND(#REF!,"AAAAAGl3/WU=")</f>
        <v>#REF!</v>
      </c>
      <c r="CY23" t="e">
        <f>AND(#REF!,"AAAAAGl3/WY=")</f>
        <v>#REF!</v>
      </c>
      <c r="CZ23" t="e">
        <f>AND(#REF!,"AAAAAGl3/Wc=")</f>
        <v>#REF!</v>
      </c>
      <c r="DA23" t="e">
        <f>AND(#REF!,"AAAAAGl3/Wg=")</f>
        <v>#REF!</v>
      </c>
      <c r="DB23" t="e">
        <f>IF(#REF!,"AAAAAGl3/Wk=",0)</f>
        <v>#REF!</v>
      </c>
      <c r="DC23" t="e">
        <f>AND(#REF!,"AAAAAGl3/Wo=")</f>
        <v>#REF!</v>
      </c>
      <c r="DD23" t="e">
        <f>AND(#REF!,"AAAAAGl3/Ws=")</f>
        <v>#REF!</v>
      </c>
      <c r="DE23" t="e">
        <f>AND(#REF!,"AAAAAGl3/Ww=")</f>
        <v>#REF!</v>
      </c>
      <c r="DF23" t="e">
        <f>AND(#REF!,"AAAAAGl3/W0=")</f>
        <v>#REF!</v>
      </c>
      <c r="DG23" t="e">
        <f>AND(#REF!,"AAAAAGl3/W4=")</f>
        <v>#REF!</v>
      </c>
      <c r="DH23" t="e">
        <f>AND(#REF!,"AAAAAGl3/W8=")</f>
        <v>#REF!</v>
      </c>
      <c r="DI23" t="e">
        <f>AND(#REF!,"AAAAAGl3/XA=")</f>
        <v>#REF!</v>
      </c>
      <c r="DJ23" t="e">
        <f>AND(#REF!,"AAAAAGl3/XE=")</f>
        <v>#REF!</v>
      </c>
      <c r="DK23" t="e">
        <f>AND(#REF!,"AAAAAGl3/XI=")</f>
        <v>#REF!</v>
      </c>
      <c r="DL23" t="e">
        <f>AND(#REF!,"AAAAAGl3/XM=")</f>
        <v>#REF!</v>
      </c>
      <c r="DM23" t="e">
        <f>AND(#REF!,"AAAAAGl3/XQ=")</f>
        <v>#REF!</v>
      </c>
      <c r="DN23" t="e">
        <f>AND(#REF!,"AAAAAGl3/XU=")</f>
        <v>#REF!</v>
      </c>
      <c r="DO23" t="e">
        <f>IF(#REF!,"AAAAAGl3/XY=",0)</f>
        <v>#REF!</v>
      </c>
      <c r="DP23" t="e">
        <f>AND(#REF!,"AAAAAGl3/Xc=")</f>
        <v>#REF!</v>
      </c>
      <c r="DQ23" t="e">
        <f>AND(#REF!,"AAAAAGl3/Xg=")</f>
        <v>#REF!</v>
      </c>
      <c r="DR23" t="e">
        <f>AND(#REF!,"AAAAAGl3/Xk=")</f>
        <v>#REF!</v>
      </c>
      <c r="DS23" t="e">
        <f>AND(#REF!,"AAAAAGl3/Xo=")</f>
        <v>#REF!</v>
      </c>
      <c r="DT23" t="e">
        <f>AND(#REF!,"AAAAAGl3/Xs=")</f>
        <v>#REF!</v>
      </c>
      <c r="DU23" t="e">
        <f>AND(#REF!,"AAAAAGl3/Xw=")</f>
        <v>#REF!</v>
      </c>
      <c r="DV23" t="e">
        <f>AND(#REF!,"AAAAAGl3/X0=")</f>
        <v>#REF!</v>
      </c>
      <c r="DW23" t="e">
        <f>AND(#REF!,"AAAAAGl3/X4=")</f>
        <v>#REF!</v>
      </c>
      <c r="DX23" t="e">
        <f>AND(#REF!,"AAAAAGl3/X8=")</f>
        <v>#REF!</v>
      </c>
      <c r="DY23" t="e">
        <f>AND(#REF!,"AAAAAGl3/YA=")</f>
        <v>#REF!</v>
      </c>
      <c r="DZ23" t="e">
        <f>AND(#REF!,"AAAAAGl3/YE=")</f>
        <v>#REF!</v>
      </c>
      <c r="EA23" t="e">
        <f>AND(#REF!,"AAAAAGl3/YI=")</f>
        <v>#REF!</v>
      </c>
      <c r="EB23" t="e">
        <f>IF(#REF!,"AAAAAGl3/YM=",0)</f>
        <v>#REF!</v>
      </c>
      <c r="EC23" t="e">
        <f>AND(#REF!,"AAAAAGl3/YQ=")</f>
        <v>#REF!</v>
      </c>
      <c r="ED23" t="e">
        <f>AND(#REF!,"AAAAAGl3/YU=")</f>
        <v>#REF!</v>
      </c>
      <c r="EE23" t="e">
        <f>AND(#REF!,"AAAAAGl3/YY=")</f>
        <v>#REF!</v>
      </c>
      <c r="EF23" t="e">
        <f>AND(#REF!,"AAAAAGl3/Yc=")</f>
        <v>#REF!</v>
      </c>
      <c r="EG23" t="e">
        <f>AND(#REF!,"AAAAAGl3/Yg=")</f>
        <v>#REF!</v>
      </c>
      <c r="EH23" t="e">
        <f>AND(#REF!,"AAAAAGl3/Yk=")</f>
        <v>#REF!</v>
      </c>
      <c r="EI23" t="e">
        <f>AND(#REF!,"AAAAAGl3/Yo=")</f>
        <v>#REF!</v>
      </c>
      <c r="EJ23" t="e">
        <f>AND(#REF!,"AAAAAGl3/Ys=")</f>
        <v>#REF!</v>
      </c>
      <c r="EK23" t="e">
        <f>AND(#REF!,"AAAAAGl3/Yw=")</f>
        <v>#REF!</v>
      </c>
      <c r="EL23" t="e">
        <f>AND(#REF!,"AAAAAGl3/Y0=")</f>
        <v>#REF!</v>
      </c>
      <c r="EM23" t="e">
        <f>AND(#REF!,"AAAAAGl3/Y4=")</f>
        <v>#REF!</v>
      </c>
      <c r="EN23" t="e">
        <f>AND(#REF!,"AAAAAGl3/Y8=")</f>
        <v>#REF!</v>
      </c>
      <c r="EO23" t="e">
        <f>IF(#REF!,"AAAAAGl3/ZA=",0)</f>
        <v>#REF!</v>
      </c>
      <c r="EP23" t="e">
        <f>AND(#REF!,"AAAAAGl3/ZE=")</f>
        <v>#REF!</v>
      </c>
      <c r="EQ23" t="e">
        <f>AND(#REF!,"AAAAAGl3/ZI=")</f>
        <v>#REF!</v>
      </c>
      <c r="ER23" t="e">
        <f>AND(#REF!,"AAAAAGl3/ZM=")</f>
        <v>#REF!</v>
      </c>
      <c r="ES23" t="e">
        <f>AND(#REF!,"AAAAAGl3/ZQ=")</f>
        <v>#REF!</v>
      </c>
      <c r="ET23" t="e">
        <f>AND(#REF!,"AAAAAGl3/ZU=")</f>
        <v>#REF!</v>
      </c>
      <c r="EU23" t="e">
        <f>AND(#REF!,"AAAAAGl3/ZY=")</f>
        <v>#REF!</v>
      </c>
      <c r="EV23" t="e">
        <f>AND(#REF!,"AAAAAGl3/Zc=")</f>
        <v>#REF!</v>
      </c>
      <c r="EW23" t="e">
        <f>AND(#REF!,"AAAAAGl3/Zg=")</f>
        <v>#REF!</v>
      </c>
      <c r="EX23" t="e">
        <f>AND(#REF!,"AAAAAGl3/Zk=")</f>
        <v>#REF!</v>
      </c>
      <c r="EY23" t="e">
        <f>AND(#REF!,"AAAAAGl3/Zo=")</f>
        <v>#REF!</v>
      </c>
      <c r="EZ23" t="e">
        <f>AND(#REF!,"AAAAAGl3/Zs=")</f>
        <v>#REF!</v>
      </c>
      <c r="FA23" t="e">
        <f>AND(#REF!,"AAAAAGl3/Zw=")</f>
        <v>#REF!</v>
      </c>
      <c r="FB23" t="e">
        <f>IF(#REF!,"AAAAAGl3/Z0=",0)</f>
        <v>#REF!</v>
      </c>
      <c r="FC23" t="e">
        <f>AND(#REF!,"AAAAAGl3/Z4=")</f>
        <v>#REF!</v>
      </c>
      <c r="FD23" t="e">
        <f>AND(#REF!,"AAAAAGl3/Z8=")</f>
        <v>#REF!</v>
      </c>
      <c r="FE23" t="e">
        <f>AND(#REF!,"AAAAAGl3/aA=")</f>
        <v>#REF!</v>
      </c>
      <c r="FF23" t="e">
        <f>AND(#REF!,"AAAAAGl3/aE=")</f>
        <v>#REF!</v>
      </c>
      <c r="FG23" t="e">
        <f>AND(#REF!,"AAAAAGl3/aI=")</f>
        <v>#REF!</v>
      </c>
      <c r="FH23" t="e">
        <f>AND(#REF!,"AAAAAGl3/aM=")</f>
        <v>#REF!</v>
      </c>
      <c r="FI23" t="e">
        <f>AND(#REF!,"AAAAAGl3/aQ=")</f>
        <v>#REF!</v>
      </c>
      <c r="FJ23" t="e">
        <f>AND(#REF!,"AAAAAGl3/aU=")</f>
        <v>#REF!</v>
      </c>
      <c r="FK23" t="e">
        <f>AND(#REF!,"AAAAAGl3/aY=")</f>
        <v>#REF!</v>
      </c>
      <c r="FL23" t="e">
        <f>AND(#REF!,"AAAAAGl3/ac=")</f>
        <v>#REF!</v>
      </c>
      <c r="FM23" t="e">
        <f>AND(#REF!,"AAAAAGl3/ag=")</f>
        <v>#REF!</v>
      </c>
      <c r="FN23" t="e">
        <f>AND(#REF!,"AAAAAGl3/ak=")</f>
        <v>#REF!</v>
      </c>
      <c r="FO23" t="e">
        <f>IF(#REF!,"AAAAAGl3/ao=",0)</f>
        <v>#REF!</v>
      </c>
      <c r="FP23" t="e">
        <f>AND(#REF!,"AAAAAGl3/as=")</f>
        <v>#REF!</v>
      </c>
      <c r="FQ23" t="e">
        <f>AND(#REF!,"AAAAAGl3/aw=")</f>
        <v>#REF!</v>
      </c>
      <c r="FR23" t="e">
        <f>AND(#REF!,"AAAAAGl3/a0=")</f>
        <v>#REF!</v>
      </c>
      <c r="FS23" t="e">
        <f>AND(#REF!,"AAAAAGl3/a4=")</f>
        <v>#REF!</v>
      </c>
      <c r="FT23" t="e">
        <f>AND(#REF!,"AAAAAGl3/a8=")</f>
        <v>#REF!</v>
      </c>
      <c r="FU23" t="e">
        <f>AND(#REF!,"AAAAAGl3/bA=")</f>
        <v>#REF!</v>
      </c>
      <c r="FV23" t="e">
        <f>AND(#REF!,"AAAAAGl3/bE=")</f>
        <v>#REF!</v>
      </c>
      <c r="FW23" t="e">
        <f>AND(#REF!,"AAAAAGl3/bI=")</f>
        <v>#REF!</v>
      </c>
      <c r="FX23" t="e">
        <f>AND(#REF!,"AAAAAGl3/bM=")</f>
        <v>#REF!</v>
      </c>
      <c r="FY23" t="e">
        <f>AND(#REF!,"AAAAAGl3/bQ=")</f>
        <v>#REF!</v>
      </c>
      <c r="FZ23" t="e">
        <f>AND(#REF!,"AAAAAGl3/bU=")</f>
        <v>#REF!</v>
      </c>
      <c r="GA23" t="e">
        <f>AND(#REF!,"AAAAAGl3/bY=")</f>
        <v>#REF!</v>
      </c>
      <c r="GB23" t="e">
        <f>IF(#REF!,"AAAAAGl3/bc=",0)</f>
        <v>#REF!</v>
      </c>
      <c r="GC23" t="e">
        <f>AND(#REF!,"AAAAAGl3/bg=")</f>
        <v>#REF!</v>
      </c>
      <c r="GD23" t="e">
        <f>AND(#REF!,"AAAAAGl3/bk=")</f>
        <v>#REF!</v>
      </c>
      <c r="GE23" t="e">
        <f>AND(#REF!,"AAAAAGl3/bo=")</f>
        <v>#REF!</v>
      </c>
      <c r="GF23" t="e">
        <f>AND(#REF!,"AAAAAGl3/bs=")</f>
        <v>#REF!</v>
      </c>
      <c r="GG23" t="e">
        <f>AND(#REF!,"AAAAAGl3/bw=")</f>
        <v>#REF!</v>
      </c>
      <c r="GH23" t="e">
        <f>AND(#REF!,"AAAAAGl3/b0=")</f>
        <v>#REF!</v>
      </c>
      <c r="GI23" t="e">
        <f>AND(#REF!,"AAAAAGl3/b4=")</f>
        <v>#REF!</v>
      </c>
      <c r="GJ23" t="e">
        <f>AND(#REF!,"AAAAAGl3/b8=")</f>
        <v>#REF!</v>
      </c>
      <c r="GK23" t="e">
        <f>AND(#REF!,"AAAAAGl3/cA=")</f>
        <v>#REF!</v>
      </c>
      <c r="GL23" t="e">
        <f>AND(#REF!,"AAAAAGl3/cE=")</f>
        <v>#REF!</v>
      </c>
      <c r="GM23" t="e">
        <f>AND(#REF!,"AAAAAGl3/cI=")</f>
        <v>#REF!</v>
      </c>
      <c r="GN23" t="e">
        <f>AND(#REF!,"AAAAAGl3/cM=")</f>
        <v>#REF!</v>
      </c>
      <c r="GO23" t="e">
        <f>IF(#REF!,"AAAAAGl3/cQ=",0)</f>
        <v>#REF!</v>
      </c>
      <c r="GP23" t="e">
        <f>AND(#REF!,"AAAAAGl3/cU=")</f>
        <v>#REF!</v>
      </c>
      <c r="GQ23" t="e">
        <f>AND(#REF!,"AAAAAGl3/cY=")</f>
        <v>#REF!</v>
      </c>
      <c r="GR23" t="e">
        <f>AND(#REF!,"AAAAAGl3/cc=")</f>
        <v>#REF!</v>
      </c>
      <c r="GS23" t="e">
        <f>AND(#REF!,"AAAAAGl3/cg=")</f>
        <v>#REF!</v>
      </c>
      <c r="GT23" t="e">
        <f>AND(#REF!,"AAAAAGl3/ck=")</f>
        <v>#REF!</v>
      </c>
      <c r="GU23" t="e">
        <f>AND(#REF!,"AAAAAGl3/co=")</f>
        <v>#REF!</v>
      </c>
      <c r="GV23" t="e">
        <f>AND(#REF!,"AAAAAGl3/cs=")</f>
        <v>#REF!</v>
      </c>
      <c r="GW23" t="e">
        <f>AND(#REF!,"AAAAAGl3/cw=")</f>
        <v>#REF!</v>
      </c>
      <c r="GX23" t="e">
        <f>AND(#REF!,"AAAAAGl3/c0=")</f>
        <v>#REF!</v>
      </c>
      <c r="GY23" t="e">
        <f>AND(#REF!,"AAAAAGl3/c4=")</f>
        <v>#REF!</v>
      </c>
      <c r="GZ23" t="e">
        <f>AND(#REF!,"AAAAAGl3/c8=")</f>
        <v>#REF!</v>
      </c>
      <c r="HA23" t="e">
        <f>AND(#REF!,"AAAAAGl3/dA=")</f>
        <v>#REF!</v>
      </c>
      <c r="HB23" t="e">
        <f>IF(#REF!,"AAAAAGl3/dE=",0)</f>
        <v>#REF!</v>
      </c>
      <c r="HC23" t="e">
        <f>AND(#REF!,"AAAAAGl3/dI=")</f>
        <v>#REF!</v>
      </c>
      <c r="HD23" t="e">
        <f>AND(#REF!,"AAAAAGl3/dM=")</f>
        <v>#REF!</v>
      </c>
      <c r="HE23" t="e">
        <f>AND(#REF!,"AAAAAGl3/dQ=")</f>
        <v>#REF!</v>
      </c>
      <c r="HF23" t="e">
        <f>AND(#REF!,"AAAAAGl3/dU=")</f>
        <v>#REF!</v>
      </c>
      <c r="HG23" t="e">
        <f>AND(#REF!,"AAAAAGl3/dY=")</f>
        <v>#REF!</v>
      </c>
      <c r="HH23" t="e">
        <f>AND(#REF!,"AAAAAGl3/dc=")</f>
        <v>#REF!</v>
      </c>
      <c r="HI23" t="e">
        <f>AND(#REF!,"AAAAAGl3/dg=")</f>
        <v>#REF!</v>
      </c>
      <c r="HJ23" t="e">
        <f>AND(#REF!,"AAAAAGl3/dk=")</f>
        <v>#REF!</v>
      </c>
      <c r="HK23" t="e">
        <f>AND(#REF!,"AAAAAGl3/do=")</f>
        <v>#REF!</v>
      </c>
      <c r="HL23" t="e">
        <f>AND(#REF!,"AAAAAGl3/ds=")</f>
        <v>#REF!</v>
      </c>
      <c r="HM23" t="e">
        <f>AND(#REF!,"AAAAAGl3/dw=")</f>
        <v>#REF!</v>
      </c>
      <c r="HN23" t="e">
        <f>AND(#REF!,"AAAAAGl3/d0=")</f>
        <v>#REF!</v>
      </c>
      <c r="HO23" t="e">
        <f>IF(#REF!,"AAAAAGl3/d4=",0)</f>
        <v>#REF!</v>
      </c>
      <c r="HP23" t="e">
        <f>AND(#REF!,"AAAAAGl3/d8=")</f>
        <v>#REF!</v>
      </c>
      <c r="HQ23" t="e">
        <f>AND(#REF!,"AAAAAGl3/eA=")</f>
        <v>#REF!</v>
      </c>
      <c r="HR23" t="e">
        <f>AND(#REF!,"AAAAAGl3/eE=")</f>
        <v>#REF!</v>
      </c>
      <c r="HS23" t="e">
        <f>AND(#REF!,"AAAAAGl3/eI=")</f>
        <v>#REF!</v>
      </c>
      <c r="HT23" t="e">
        <f>AND(#REF!,"AAAAAGl3/eM=")</f>
        <v>#REF!</v>
      </c>
      <c r="HU23" t="e">
        <f>AND(#REF!,"AAAAAGl3/eQ=")</f>
        <v>#REF!</v>
      </c>
      <c r="HV23" t="e">
        <f>AND(#REF!,"AAAAAGl3/eU=")</f>
        <v>#REF!</v>
      </c>
      <c r="HW23" t="e">
        <f>AND(#REF!,"AAAAAGl3/eY=")</f>
        <v>#REF!</v>
      </c>
      <c r="HX23" t="e">
        <f>AND(#REF!,"AAAAAGl3/ec=")</f>
        <v>#REF!</v>
      </c>
      <c r="HY23" t="e">
        <f>AND(#REF!,"AAAAAGl3/eg=")</f>
        <v>#REF!</v>
      </c>
      <c r="HZ23" t="e">
        <f>AND(#REF!,"AAAAAGl3/ek=")</f>
        <v>#REF!</v>
      </c>
      <c r="IA23" t="e">
        <f>AND(#REF!,"AAAAAGl3/eo=")</f>
        <v>#REF!</v>
      </c>
      <c r="IB23" t="e">
        <f>IF(#REF!,"AAAAAGl3/es=",0)</f>
        <v>#REF!</v>
      </c>
      <c r="IC23" t="e">
        <f>AND(#REF!,"AAAAAGl3/ew=")</f>
        <v>#REF!</v>
      </c>
      <c r="ID23" t="e">
        <f>AND(#REF!,"AAAAAGl3/e0=")</f>
        <v>#REF!</v>
      </c>
      <c r="IE23" t="e">
        <f>AND(#REF!,"AAAAAGl3/e4=")</f>
        <v>#REF!</v>
      </c>
      <c r="IF23" t="e">
        <f>AND(#REF!,"AAAAAGl3/e8=")</f>
        <v>#REF!</v>
      </c>
      <c r="IG23" t="e">
        <f>AND(#REF!,"AAAAAGl3/fA=")</f>
        <v>#REF!</v>
      </c>
      <c r="IH23" t="e">
        <f>AND(#REF!,"AAAAAGl3/fE=")</f>
        <v>#REF!</v>
      </c>
      <c r="II23" t="e">
        <f>AND(#REF!,"AAAAAGl3/fI=")</f>
        <v>#REF!</v>
      </c>
      <c r="IJ23" t="e">
        <f>AND(#REF!,"AAAAAGl3/fM=")</f>
        <v>#REF!</v>
      </c>
      <c r="IK23" t="e">
        <f>AND(#REF!,"AAAAAGl3/fQ=")</f>
        <v>#REF!</v>
      </c>
      <c r="IL23" t="e">
        <f>AND(#REF!,"AAAAAGl3/fU=")</f>
        <v>#REF!</v>
      </c>
      <c r="IM23" t="e">
        <f>AND(#REF!,"AAAAAGl3/fY=")</f>
        <v>#REF!</v>
      </c>
      <c r="IN23" t="e">
        <f>AND(#REF!,"AAAAAGl3/fc=")</f>
        <v>#REF!</v>
      </c>
      <c r="IO23" t="e">
        <f>IF(#REF!,"AAAAAGl3/fg=",0)</f>
        <v>#REF!</v>
      </c>
      <c r="IP23" t="e">
        <f>AND(#REF!,"AAAAAGl3/fk=")</f>
        <v>#REF!</v>
      </c>
      <c r="IQ23" t="e">
        <f>AND(#REF!,"AAAAAGl3/fo=")</f>
        <v>#REF!</v>
      </c>
      <c r="IR23" t="e">
        <f>AND(#REF!,"AAAAAGl3/fs=")</f>
        <v>#REF!</v>
      </c>
      <c r="IS23" t="e">
        <f>AND(#REF!,"AAAAAGl3/fw=")</f>
        <v>#REF!</v>
      </c>
      <c r="IT23" t="e">
        <f>AND(#REF!,"AAAAAGl3/f0=")</f>
        <v>#REF!</v>
      </c>
      <c r="IU23" t="e">
        <f>AND(#REF!,"AAAAAGl3/f4=")</f>
        <v>#REF!</v>
      </c>
      <c r="IV23" t="e">
        <f>AND(#REF!,"AAAAAGl3/f8=")</f>
        <v>#REF!</v>
      </c>
    </row>
    <row r="24" spans="1:256">
      <c r="A24" t="e">
        <f>AND(#REF!,"AAAAAG///QA=")</f>
        <v>#REF!</v>
      </c>
      <c r="B24" t="e">
        <f>AND(#REF!,"AAAAAG///QE=")</f>
        <v>#REF!</v>
      </c>
      <c r="C24" t="e">
        <f>AND(#REF!,"AAAAAG///QI=")</f>
        <v>#REF!</v>
      </c>
      <c r="D24" t="e">
        <f>AND(#REF!,"AAAAAG///QM=")</f>
        <v>#REF!</v>
      </c>
      <c r="E24" t="e">
        <f>AND(#REF!,"AAAAAG///QQ=")</f>
        <v>#REF!</v>
      </c>
      <c r="F24" t="e">
        <f>IF(#REF!,"AAAAAG///QU=",0)</f>
        <v>#REF!</v>
      </c>
      <c r="G24" t="e">
        <f>AND(#REF!,"AAAAAG///QY=")</f>
        <v>#REF!</v>
      </c>
      <c r="H24" t="e">
        <f>AND(#REF!,"AAAAAG///Qc=")</f>
        <v>#REF!</v>
      </c>
      <c r="I24" t="e">
        <f>AND(#REF!,"AAAAAG///Qg=")</f>
        <v>#REF!</v>
      </c>
      <c r="J24" t="e">
        <f>AND(#REF!,"AAAAAG///Qk=")</f>
        <v>#REF!</v>
      </c>
      <c r="K24" t="e">
        <f>AND(#REF!,"AAAAAG///Qo=")</f>
        <v>#REF!</v>
      </c>
      <c r="L24" t="e">
        <f>AND(#REF!,"AAAAAG///Qs=")</f>
        <v>#REF!</v>
      </c>
      <c r="M24" t="e">
        <f>AND(#REF!,"AAAAAG///Qw=")</f>
        <v>#REF!</v>
      </c>
      <c r="N24" t="e">
        <f>AND(#REF!,"AAAAAG///Q0=")</f>
        <v>#REF!</v>
      </c>
      <c r="O24" t="e">
        <f>AND(#REF!,"AAAAAG///Q4=")</f>
        <v>#REF!</v>
      </c>
      <c r="P24" t="e">
        <f>AND(#REF!,"AAAAAG///Q8=")</f>
        <v>#REF!</v>
      </c>
      <c r="Q24" t="e">
        <f>AND(#REF!,"AAAAAG///RA=")</f>
        <v>#REF!</v>
      </c>
      <c r="R24" t="e">
        <f>AND(#REF!,"AAAAAG///RE=")</f>
        <v>#REF!</v>
      </c>
      <c r="S24" t="e">
        <f>IF(#REF!,"AAAAAG///RI=",0)</f>
        <v>#REF!</v>
      </c>
      <c r="T24" t="e">
        <f>AND(#REF!,"AAAAAG///RM=")</f>
        <v>#REF!</v>
      </c>
      <c r="U24" t="e">
        <f>AND(#REF!,"AAAAAG///RQ=")</f>
        <v>#REF!</v>
      </c>
      <c r="V24" t="e">
        <f>AND(#REF!,"AAAAAG///RU=")</f>
        <v>#REF!</v>
      </c>
      <c r="W24" t="e">
        <f>AND(#REF!,"AAAAAG///RY=")</f>
        <v>#REF!</v>
      </c>
      <c r="X24" t="e">
        <f>AND(#REF!,"AAAAAG///Rc=")</f>
        <v>#REF!</v>
      </c>
      <c r="Y24" t="e">
        <f>AND(#REF!,"AAAAAG///Rg=")</f>
        <v>#REF!</v>
      </c>
      <c r="Z24" t="e">
        <f>AND(#REF!,"AAAAAG///Rk=")</f>
        <v>#REF!</v>
      </c>
      <c r="AA24" t="e">
        <f>AND(#REF!,"AAAAAG///Ro=")</f>
        <v>#REF!</v>
      </c>
      <c r="AB24" t="e">
        <f>AND(#REF!,"AAAAAG///Rs=")</f>
        <v>#REF!</v>
      </c>
      <c r="AC24" t="e">
        <f>AND(#REF!,"AAAAAG///Rw=")</f>
        <v>#REF!</v>
      </c>
      <c r="AD24" t="e">
        <f>AND(#REF!,"AAAAAG///R0=")</f>
        <v>#REF!</v>
      </c>
      <c r="AE24" t="e">
        <f>AND(#REF!,"AAAAAG///R4=")</f>
        <v>#REF!</v>
      </c>
      <c r="AF24" t="e">
        <f>IF(#REF!,"AAAAAG///R8=",0)</f>
        <v>#REF!</v>
      </c>
      <c r="AG24" t="e">
        <f>AND(#REF!,"AAAAAG///SA=")</f>
        <v>#REF!</v>
      </c>
      <c r="AH24" t="e">
        <f>AND(#REF!,"AAAAAG///SE=")</f>
        <v>#REF!</v>
      </c>
      <c r="AI24" t="e">
        <f>AND(#REF!,"AAAAAG///SI=")</f>
        <v>#REF!</v>
      </c>
      <c r="AJ24" t="e">
        <f>AND(#REF!,"AAAAAG///SM=")</f>
        <v>#REF!</v>
      </c>
      <c r="AK24" t="e">
        <f>AND(#REF!,"AAAAAG///SQ=")</f>
        <v>#REF!</v>
      </c>
      <c r="AL24" t="e">
        <f>AND(#REF!,"AAAAAG///SU=")</f>
        <v>#REF!</v>
      </c>
      <c r="AM24" t="e">
        <f>AND(#REF!,"AAAAAG///SY=")</f>
        <v>#REF!</v>
      </c>
      <c r="AN24" t="e">
        <f>AND(#REF!,"AAAAAG///Sc=")</f>
        <v>#REF!</v>
      </c>
      <c r="AO24" t="e">
        <f>AND(#REF!,"AAAAAG///Sg=")</f>
        <v>#REF!</v>
      </c>
      <c r="AP24" t="e">
        <f>AND(#REF!,"AAAAAG///Sk=")</f>
        <v>#REF!</v>
      </c>
      <c r="AQ24" t="e">
        <f>AND(#REF!,"AAAAAG///So=")</f>
        <v>#REF!</v>
      </c>
      <c r="AR24" t="e">
        <f>AND(#REF!,"AAAAAG///Ss=")</f>
        <v>#REF!</v>
      </c>
      <c r="AS24" t="e">
        <f>IF(#REF!,"AAAAAG///Sw=",0)</f>
        <v>#REF!</v>
      </c>
      <c r="AT24" t="e">
        <f>AND(#REF!,"AAAAAG///S0=")</f>
        <v>#REF!</v>
      </c>
      <c r="AU24" t="e">
        <f>AND(#REF!,"AAAAAG///S4=")</f>
        <v>#REF!</v>
      </c>
      <c r="AV24" t="e">
        <f>AND(#REF!,"AAAAAG///S8=")</f>
        <v>#REF!</v>
      </c>
      <c r="AW24" t="e">
        <f>AND(#REF!,"AAAAAG///TA=")</f>
        <v>#REF!</v>
      </c>
      <c r="AX24" t="e">
        <f>AND(#REF!,"AAAAAG///TE=")</f>
        <v>#REF!</v>
      </c>
      <c r="AY24" t="e">
        <f>AND(#REF!,"AAAAAG///TI=")</f>
        <v>#REF!</v>
      </c>
      <c r="AZ24" t="e">
        <f>AND(#REF!,"AAAAAG///TM=")</f>
        <v>#REF!</v>
      </c>
      <c r="BA24" t="e">
        <f>AND(#REF!,"AAAAAG///TQ=")</f>
        <v>#REF!</v>
      </c>
      <c r="BB24" t="e">
        <f>AND(#REF!,"AAAAAG///TU=")</f>
        <v>#REF!</v>
      </c>
      <c r="BC24" t="e">
        <f>AND(#REF!,"AAAAAG///TY=")</f>
        <v>#REF!</v>
      </c>
      <c r="BD24" t="e">
        <f>AND(#REF!,"AAAAAG///Tc=")</f>
        <v>#REF!</v>
      </c>
      <c r="BE24" t="e">
        <f>AND(#REF!,"AAAAAG///Tg=")</f>
        <v>#REF!</v>
      </c>
      <c r="BF24" t="e">
        <f>IF(#REF!,"AAAAAG///Tk=",0)</f>
        <v>#REF!</v>
      </c>
      <c r="BG24" t="e">
        <f>AND(#REF!,"AAAAAG///To=")</f>
        <v>#REF!</v>
      </c>
      <c r="BH24" t="e">
        <f>AND(#REF!,"AAAAAG///Ts=")</f>
        <v>#REF!</v>
      </c>
      <c r="BI24" t="e">
        <f>AND(#REF!,"AAAAAG///Tw=")</f>
        <v>#REF!</v>
      </c>
      <c r="BJ24" t="e">
        <f>AND(#REF!,"AAAAAG///T0=")</f>
        <v>#REF!</v>
      </c>
      <c r="BK24" t="e">
        <f>AND(#REF!,"AAAAAG///T4=")</f>
        <v>#REF!</v>
      </c>
      <c r="BL24" t="e">
        <f>AND(#REF!,"AAAAAG///T8=")</f>
        <v>#REF!</v>
      </c>
      <c r="BM24" t="e">
        <f>AND(#REF!,"AAAAAG///UA=")</f>
        <v>#REF!</v>
      </c>
      <c r="BN24" t="e">
        <f>AND(#REF!,"AAAAAG///UE=")</f>
        <v>#REF!</v>
      </c>
      <c r="BO24" t="e">
        <f>AND(#REF!,"AAAAAG///UI=")</f>
        <v>#REF!</v>
      </c>
      <c r="BP24" t="e">
        <f>AND(#REF!,"AAAAAG///UM=")</f>
        <v>#REF!</v>
      </c>
      <c r="BQ24" t="e">
        <f>AND(#REF!,"AAAAAG///UQ=")</f>
        <v>#REF!</v>
      </c>
      <c r="BR24" t="e">
        <f>AND(#REF!,"AAAAAG///UU=")</f>
        <v>#REF!</v>
      </c>
      <c r="BS24" t="e">
        <f>IF(#REF!,"AAAAAG///UY=",0)</f>
        <v>#REF!</v>
      </c>
      <c r="BT24" t="e">
        <f>AND(#REF!,"AAAAAG///Uc=")</f>
        <v>#REF!</v>
      </c>
      <c r="BU24" t="e">
        <f>AND(#REF!,"AAAAAG///Ug=")</f>
        <v>#REF!</v>
      </c>
      <c r="BV24" t="e">
        <f>AND(#REF!,"AAAAAG///Uk=")</f>
        <v>#REF!</v>
      </c>
      <c r="BW24" t="e">
        <f>AND(#REF!,"AAAAAG///Uo=")</f>
        <v>#REF!</v>
      </c>
      <c r="BX24" t="e">
        <f>AND(#REF!,"AAAAAG///Us=")</f>
        <v>#REF!</v>
      </c>
      <c r="BY24" t="e">
        <f>AND(#REF!,"AAAAAG///Uw=")</f>
        <v>#REF!</v>
      </c>
      <c r="BZ24" t="e">
        <f>AND(#REF!,"AAAAAG///U0=")</f>
        <v>#REF!</v>
      </c>
      <c r="CA24" t="e">
        <f>AND(#REF!,"AAAAAG///U4=")</f>
        <v>#REF!</v>
      </c>
      <c r="CB24" t="e">
        <f>AND(#REF!,"AAAAAG///U8=")</f>
        <v>#REF!</v>
      </c>
      <c r="CC24" t="e">
        <f>AND(#REF!,"AAAAAG///VA=")</f>
        <v>#REF!</v>
      </c>
      <c r="CD24" t="e">
        <f>AND(#REF!,"AAAAAG///VE=")</f>
        <v>#REF!</v>
      </c>
      <c r="CE24" t="e">
        <f>AND(#REF!,"AAAAAG///VI=")</f>
        <v>#REF!</v>
      </c>
      <c r="CF24" t="e">
        <f>IF(#REF!,"AAAAAG///VM=",0)</f>
        <v>#REF!</v>
      </c>
      <c r="CG24" t="e">
        <f>AND(#REF!,"AAAAAG///VQ=")</f>
        <v>#REF!</v>
      </c>
      <c r="CH24" t="e">
        <f>AND(#REF!,"AAAAAG///VU=")</f>
        <v>#REF!</v>
      </c>
      <c r="CI24" t="e">
        <f>AND(#REF!,"AAAAAG///VY=")</f>
        <v>#REF!</v>
      </c>
      <c r="CJ24" t="e">
        <f>AND(#REF!,"AAAAAG///Vc=")</f>
        <v>#REF!</v>
      </c>
      <c r="CK24" t="e">
        <f>AND(#REF!,"AAAAAG///Vg=")</f>
        <v>#REF!</v>
      </c>
      <c r="CL24" t="e">
        <f>AND(#REF!,"AAAAAG///Vk=")</f>
        <v>#REF!</v>
      </c>
      <c r="CM24" t="e">
        <f>AND(#REF!,"AAAAAG///Vo=")</f>
        <v>#REF!</v>
      </c>
      <c r="CN24" t="e">
        <f>AND(#REF!,"AAAAAG///Vs=")</f>
        <v>#REF!</v>
      </c>
      <c r="CO24" t="e">
        <f>AND(#REF!,"AAAAAG///Vw=")</f>
        <v>#REF!</v>
      </c>
      <c r="CP24" t="e">
        <f>AND(#REF!,"AAAAAG///V0=")</f>
        <v>#REF!</v>
      </c>
      <c r="CQ24" t="e">
        <f>AND(#REF!,"AAAAAG///V4=")</f>
        <v>#REF!</v>
      </c>
      <c r="CR24" t="e">
        <f>AND(#REF!,"AAAAAG///V8=")</f>
        <v>#REF!</v>
      </c>
      <c r="CS24" t="e">
        <f>IF(#REF!,"AAAAAG///WA=",0)</f>
        <v>#REF!</v>
      </c>
      <c r="CT24" t="e">
        <f>AND(#REF!,"AAAAAG///WE=")</f>
        <v>#REF!</v>
      </c>
      <c r="CU24" t="e">
        <f>AND(#REF!,"AAAAAG///WI=")</f>
        <v>#REF!</v>
      </c>
      <c r="CV24" t="e">
        <f>AND(#REF!,"AAAAAG///WM=")</f>
        <v>#REF!</v>
      </c>
      <c r="CW24" t="e">
        <f>AND(#REF!,"AAAAAG///WQ=")</f>
        <v>#REF!</v>
      </c>
      <c r="CX24" t="e">
        <f>AND(#REF!,"AAAAAG///WU=")</f>
        <v>#REF!</v>
      </c>
      <c r="CY24" t="e">
        <f>AND(#REF!,"AAAAAG///WY=")</f>
        <v>#REF!</v>
      </c>
      <c r="CZ24" t="e">
        <f>AND(#REF!,"AAAAAG///Wc=")</f>
        <v>#REF!</v>
      </c>
      <c r="DA24" t="e">
        <f>AND(#REF!,"AAAAAG///Wg=")</f>
        <v>#REF!</v>
      </c>
      <c r="DB24" t="e">
        <f>AND(#REF!,"AAAAAG///Wk=")</f>
        <v>#REF!</v>
      </c>
      <c r="DC24" t="e">
        <f>AND(#REF!,"AAAAAG///Wo=")</f>
        <v>#REF!</v>
      </c>
      <c r="DD24" t="e">
        <f>AND(#REF!,"AAAAAG///Ws=")</f>
        <v>#REF!</v>
      </c>
      <c r="DE24" t="e">
        <f>AND(#REF!,"AAAAAG///Ww=")</f>
        <v>#REF!</v>
      </c>
      <c r="DF24" t="e">
        <f>IF(#REF!,"AAAAAG///W0=",0)</f>
        <v>#REF!</v>
      </c>
      <c r="DG24" t="e">
        <f>AND(#REF!,"AAAAAG///W4=")</f>
        <v>#REF!</v>
      </c>
      <c r="DH24" t="e">
        <f>AND(#REF!,"AAAAAG///W8=")</f>
        <v>#REF!</v>
      </c>
      <c r="DI24" t="e">
        <f>AND(#REF!,"AAAAAG///XA=")</f>
        <v>#REF!</v>
      </c>
      <c r="DJ24" t="e">
        <f>AND(#REF!,"AAAAAG///XE=")</f>
        <v>#REF!</v>
      </c>
      <c r="DK24" t="e">
        <f>AND(#REF!,"AAAAAG///XI=")</f>
        <v>#REF!</v>
      </c>
      <c r="DL24" t="e">
        <f>AND(#REF!,"AAAAAG///XM=")</f>
        <v>#REF!</v>
      </c>
      <c r="DM24" t="e">
        <f>AND(#REF!,"AAAAAG///XQ=")</f>
        <v>#REF!</v>
      </c>
      <c r="DN24" t="e">
        <f>AND(#REF!,"AAAAAG///XU=")</f>
        <v>#REF!</v>
      </c>
      <c r="DO24" t="e">
        <f>AND(#REF!,"AAAAAG///XY=")</f>
        <v>#REF!</v>
      </c>
      <c r="DP24" t="e">
        <f>AND(#REF!,"AAAAAG///Xc=")</f>
        <v>#REF!</v>
      </c>
      <c r="DQ24" t="e">
        <f>AND(#REF!,"AAAAAG///Xg=")</f>
        <v>#REF!</v>
      </c>
      <c r="DR24" t="e">
        <f>AND(#REF!,"AAAAAG///Xk=")</f>
        <v>#REF!</v>
      </c>
      <c r="DS24" t="e">
        <f>IF(#REF!,"AAAAAG///Xo=",0)</f>
        <v>#REF!</v>
      </c>
      <c r="DT24" t="e">
        <f>AND(#REF!,"AAAAAG///Xs=")</f>
        <v>#REF!</v>
      </c>
      <c r="DU24" t="e">
        <f>AND(#REF!,"AAAAAG///Xw=")</f>
        <v>#REF!</v>
      </c>
      <c r="DV24" t="e">
        <f>AND(#REF!,"AAAAAG///X0=")</f>
        <v>#REF!</v>
      </c>
      <c r="DW24" t="e">
        <f>AND(#REF!,"AAAAAG///X4=")</f>
        <v>#REF!</v>
      </c>
      <c r="DX24" t="e">
        <f>AND(#REF!,"AAAAAG///X8=")</f>
        <v>#REF!</v>
      </c>
      <c r="DY24" t="e">
        <f>AND(#REF!,"AAAAAG///YA=")</f>
        <v>#REF!</v>
      </c>
      <c r="DZ24" t="e">
        <f>AND(#REF!,"AAAAAG///YE=")</f>
        <v>#REF!</v>
      </c>
      <c r="EA24" t="e">
        <f>AND(#REF!,"AAAAAG///YI=")</f>
        <v>#REF!</v>
      </c>
      <c r="EB24" t="e">
        <f>AND(#REF!,"AAAAAG///YM=")</f>
        <v>#REF!</v>
      </c>
      <c r="EC24" t="e">
        <f>AND(#REF!,"AAAAAG///YQ=")</f>
        <v>#REF!</v>
      </c>
      <c r="ED24" t="e">
        <f>AND(#REF!,"AAAAAG///YU=")</f>
        <v>#REF!</v>
      </c>
      <c r="EE24" t="e">
        <f>AND(#REF!,"AAAAAG///YY=")</f>
        <v>#REF!</v>
      </c>
      <c r="EF24" t="e">
        <f>IF(#REF!,"AAAAAG///Yc=",0)</f>
        <v>#REF!</v>
      </c>
      <c r="EG24" t="e">
        <f>AND(#REF!,"AAAAAG///Yg=")</f>
        <v>#REF!</v>
      </c>
      <c r="EH24" t="e">
        <f>AND(#REF!,"AAAAAG///Yk=")</f>
        <v>#REF!</v>
      </c>
      <c r="EI24" t="e">
        <f>AND(#REF!,"AAAAAG///Yo=")</f>
        <v>#REF!</v>
      </c>
      <c r="EJ24" t="e">
        <f>AND(#REF!,"AAAAAG///Ys=")</f>
        <v>#REF!</v>
      </c>
      <c r="EK24" t="e">
        <f>AND(#REF!,"AAAAAG///Yw=")</f>
        <v>#REF!</v>
      </c>
      <c r="EL24" t="e">
        <f>AND(#REF!,"AAAAAG///Y0=")</f>
        <v>#REF!</v>
      </c>
      <c r="EM24" t="e">
        <f>AND(#REF!,"AAAAAG///Y4=")</f>
        <v>#REF!</v>
      </c>
      <c r="EN24" t="e">
        <f>AND(#REF!,"AAAAAG///Y8=")</f>
        <v>#REF!</v>
      </c>
      <c r="EO24" t="e">
        <f>AND(#REF!,"AAAAAG///ZA=")</f>
        <v>#REF!</v>
      </c>
      <c r="EP24" t="e">
        <f>AND(#REF!,"AAAAAG///ZE=")</f>
        <v>#REF!</v>
      </c>
      <c r="EQ24" t="e">
        <f>AND(#REF!,"AAAAAG///ZI=")</f>
        <v>#REF!</v>
      </c>
      <c r="ER24" t="e">
        <f>AND(#REF!,"AAAAAG///ZM=")</f>
        <v>#REF!</v>
      </c>
      <c r="ES24" t="e">
        <f>IF(#REF!,"AAAAAG///ZQ=",0)</f>
        <v>#REF!</v>
      </c>
      <c r="ET24" t="e">
        <f>AND(#REF!,"AAAAAG///ZU=")</f>
        <v>#REF!</v>
      </c>
      <c r="EU24" t="e">
        <f>AND(#REF!,"AAAAAG///ZY=")</f>
        <v>#REF!</v>
      </c>
      <c r="EV24" t="e">
        <f>AND(#REF!,"AAAAAG///Zc=")</f>
        <v>#REF!</v>
      </c>
      <c r="EW24" t="e">
        <f>AND(#REF!,"AAAAAG///Zg=")</f>
        <v>#REF!</v>
      </c>
      <c r="EX24" t="e">
        <f>AND(#REF!,"AAAAAG///Zk=")</f>
        <v>#REF!</v>
      </c>
      <c r="EY24" t="e">
        <f>AND(#REF!,"AAAAAG///Zo=")</f>
        <v>#REF!</v>
      </c>
      <c r="EZ24" t="e">
        <f>AND(#REF!,"AAAAAG///Zs=")</f>
        <v>#REF!</v>
      </c>
      <c r="FA24" t="e">
        <f>AND(#REF!,"AAAAAG///Zw=")</f>
        <v>#REF!</v>
      </c>
      <c r="FB24" t="e">
        <f>AND(#REF!,"AAAAAG///Z0=")</f>
        <v>#REF!</v>
      </c>
      <c r="FC24" t="e">
        <f>AND(#REF!,"AAAAAG///Z4=")</f>
        <v>#REF!</v>
      </c>
      <c r="FD24" t="e">
        <f>AND(#REF!,"AAAAAG///Z8=")</f>
        <v>#REF!</v>
      </c>
      <c r="FE24" t="e">
        <f>AND(#REF!,"AAAAAG///aA=")</f>
        <v>#REF!</v>
      </c>
      <c r="FF24" t="e">
        <f>IF(#REF!,"AAAAAG///aE=",0)</f>
        <v>#REF!</v>
      </c>
      <c r="FG24" t="e">
        <f>AND(#REF!,"AAAAAG///aI=")</f>
        <v>#REF!</v>
      </c>
      <c r="FH24" t="e">
        <f>AND(#REF!,"AAAAAG///aM=")</f>
        <v>#REF!</v>
      </c>
      <c r="FI24" t="e">
        <f>AND(#REF!,"AAAAAG///aQ=")</f>
        <v>#REF!</v>
      </c>
      <c r="FJ24" t="e">
        <f>AND(#REF!,"AAAAAG///aU=")</f>
        <v>#REF!</v>
      </c>
      <c r="FK24" t="e">
        <f>AND(#REF!,"AAAAAG///aY=")</f>
        <v>#REF!</v>
      </c>
      <c r="FL24" t="e">
        <f>AND(#REF!,"AAAAAG///ac=")</f>
        <v>#REF!</v>
      </c>
      <c r="FM24" t="e">
        <f>AND(#REF!,"AAAAAG///ag=")</f>
        <v>#REF!</v>
      </c>
      <c r="FN24" t="e">
        <f>AND(#REF!,"AAAAAG///ak=")</f>
        <v>#REF!</v>
      </c>
      <c r="FO24" t="e">
        <f>AND(#REF!,"AAAAAG///ao=")</f>
        <v>#REF!</v>
      </c>
      <c r="FP24" t="e">
        <f>AND(#REF!,"AAAAAG///as=")</f>
        <v>#REF!</v>
      </c>
      <c r="FQ24" t="e">
        <f>AND(#REF!,"AAAAAG///aw=")</f>
        <v>#REF!</v>
      </c>
      <c r="FR24" t="e">
        <f>AND(#REF!,"AAAAAG///a0=")</f>
        <v>#REF!</v>
      </c>
      <c r="FS24" t="e">
        <f>IF(#REF!,"AAAAAG///a4=",0)</f>
        <v>#REF!</v>
      </c>
      <c r="FT24" t="e">
        <f>AND(#REF!,"AAAAAG///a8=")</f>
        <v>#REF!</v>
      </c>
      <c r="FU24" t="e">
        <f>AND(#REF!,"AAAAAG///bA=")</f>
        <v>#REF!</v>
      </c>
      <c r="FV24" t="e">
        <f>AND(#REF!,"AAAAAG///bE=")</f>
        <v>#REF!</v>
      </c>
      <c r="FW24" t="e">
        <f>AND(#REF!,"AAAAAG///bI=")</f>
        <v>#REF!</v>
      </c>
      <c r="FX24" t="e">
        <f>AND(#REF!,"AAAAAG///bM=")</f>
        <v>#REF!</v>
      </c>
      <c r="FY24" t="e">
        <f>AND(#REF!,"AAAAAG///bQ=")</f>
        <v>#REF!</v>
      </c>
      <c r="FZ24" t="e">
        <f>AND(#REF!,"AAAAAG///bU=")</f>
        <v>#REF!</v>
      </c>
      <c r="GA24" t="e">
        <f>AND(#REF!,"AAAAAG///bY=")</f>
        <v>#REF!</v>
      </c>
      <c r="GB24" t="e">
        <f>AND(#REF!,"AAAAAG///bc=")</f>
        <v>#REF!</v>
      </c>
      <c r="GC24" t="e">
        <f>AND(#REF!,"AAAAAG///bg=")</f>
        <v>#REF!</v>
      </c>
      <c r="GD24" t="e">
        <f>AND(#REF!,"AAAAAG///bk=")</f>
        <v>#REF!</v>
      </c>
      <c r="GE24" t="e">
        <f>AND(#REF!,"AAAAAG///bo=")</f>
        <v>#REF!</v>
      </c>
      <c r="GF24" t="e">
        <f>IF(#REF!,"AAAAAG///bs=",0)</f>
        <v>#REF!</v>
      </c>
      <c r="GG24" t="e">
        <f>AND(#REF!,"AAAAAG///bw=")</f>
        <v>#REF!</v>
      </c>
      <c r="GH24" t="e">
        <f>AND(#REF!,"AAAAAG///b0=")</f>
        <v>#REF!</v>
      </c>
      <c r="GI24" t="e">
        <f>AND(#REF!,"AAAAAG///b4=")</f>
        <v>#REF!</v>
      </c>
      <c r="GJ24" t="e">
        <f>AND(#REF!,"AAAAAG///b8=")</f>
        <v>#REF!</v>
      </c>
      <c r="GK24" t="e">
        <f>AND(#REF!,"AAAAAG///cA=")</f>
        <v>#REF!</v>
      </c>
      <c r="GL24" t="e">
        <f>AND(#REF!,"AAAAAG///cE=")</f>
        <v>#REF!</v>
      </c>
      <c r="GM24" t="e">
        <f>AND(#REF!,"AAAAAG///cI=")</f>
        <v>#REF!</v>
      </c>
      <c r="GN24" t="e">
        <f>AND(#REF!,"AAAAAG///cM=")</f>
        <v>#REF!</v>
      </c>
      <c r="GO24" t="e">
        <f>AND(#REF!,"AAAAAG///cQ=")</f>
        <v>#REF!</v>
      </c>
      <c r="GP24" t="e">
        <f>AND(#REF!,"AAAAAG///cU=")</f>
        <v>#REF!</v>
      </c>
      <c r="GQ24" t="e">
        <f>AND(#REF!,"AAAAAG///cY=")</f>
        <v>#REF!</v>
      </c>
      <c r="GR24" t="e">
        <f>AND(#REF!,"AAAAAG///cc=")</f>
        <v>#REF!</v>
      </c>
      <c r="GS24" t="e">
        <f>IF(#REF!,"AAAAAG///cg=",0)</f>
        <v>#REF!</v>
      </c>
      <c r="GT24" t="e">
        <f>AND(#REF!,"AAAAAG///ck=")</f>
        <v>#REF!</v>
      </c>
      <c r="GU24" t="e">
        <f>AND(#REF!,"AAAAAG///co=")</f>
        <v>#REF!</v>
      </c>
      <c r="GV24" t="e">
        <f>AND(#REF!,"AAAAAG///cs=")</f>
        <v>#REF!</v>
      </c>
      <c r="GW24" t="e">
        <f>AND(#REF!,"AAAAAG///cw=")</f>
        <v>#REF!</v>
      </c>
      <c r="GX24" t="e">
        <f>AND(#REF!,"AAAAAG///c0=")</f>
        <v>#REF!</v>
      </c>
      <c r="GY24" t="e">
        <f>AND(#REF!,"AAAAAG///c4=")</f>
        <v>#REF!</v>
      </c>
      <c r="GZ24" t="e">
        <f>AND(#REF!,"AAAAAG///c8=")</f>
        <v>#REF!</v>
      </c>
      <c r="HA24" t="e">
        <f>AND(#REF!,"AAAAAG///dA=")</f>
        <v>#REF!</v>
      </c>
      <c r="HB24" t="e">
        <f>AND(#REF!,"AAAAAG///dE=")</f>
        <v>#REF!</v>
      </c>
      <c r="HC24" t="e">
        <f>AND(#REF!,"AAAAAG///dI=")</f>
        <v>#REF!</v>
      </c>
      <c r="HD24" t="e">
        <f>AND(#REF!,"AAAAAG///dM=")</f>
        <v>#REF!</v>
      </c>
      <c r="HE24" t="e">
        <f>AND(#REF!,"AAAAAG///dQ=")</f>
        <v>#REF!</v>
      </c>
      <c r="HF24" t="e">
        <f>IF(#REF!,"AAAAAG///dU=",0)</f>
        <v>#REF!</v>
      </c>
      <c r="HG24" t="e">
        <f>AND(#REF!,"AAAAAG///dY=")</f>
        <v>#REF!</v>
      </c>
      <c r="HH24" t="e">
        <f>AND(#REF!,"AAAAAG///dc=")</f>
        <v>#REF!</v>
      </c>
      <c r="HI24" t="e">
        <f>AND(#REF!,"AAAAAG///dg=")</f>
        <v>#REF!</v>
      </c>
      <c r="HJ24" t="e">
        <f>AND(#REF!,"AAAAAG///dk=")</f>
        <v>#REF!</v>
      </c>
      <c r="HK24" t="e">
        <f>AND(#REF!,"AAAAAG///do=")</f>
        <v>#REF!</v>
      </c>
      <c r="HL24" t="e">
        <f>AND(#REF!,"AAAAAG///ds=")</f>
        <v>#REF!</v>
      </c>
      <c r="HM24" t="e">
        <f>AND(#REF!,"AAAAAG///dw=")</f>
        <v>#REF!</v>
      </c>
      <c r="HN24" t="e">
        <f>AND(#REF!,"AAAAAG///d0=")</f>
        <v>#REF!</v>
      </c>
      <c r="HO24" t="e">
        <f>AND(#REF!,"AAAAAG///d4=")</f>
        <v>#REF!</v>
      </c>
      <c r="HP24" t="e">
        <f>AND(#REF!,"AAAAAG///d8=")</f>
        <v>#REF!</v>
      </c>
      <c r="HQ24" t="e">
        <f>AND(#REF!,"AAAAAG///eA=")</f>
        <v>#REF!</v>
      </c>
      <c r="HR24" t="e">
        <f>AND(#REF!,"AAAAAG///eE=")</f>
        <v>#REF!</v>
      </c>
      <c r="HS24" t="e">
        <f>IF(#REF!,"AAAAAG///eI=",0)</f>
        <v>#REF!</v>
      </c>
      <c r="HT24" t="e">
        <f>AND(#REF!,"AAAAAG///eM=")</f>
        <v>#REF!</v>
      </c>
      <c r="HU24" t="e">
        <f>AND(#REF!,"AAAAAG///eQ=")</f>
        <v>#REF!</v>
      </c>
      <c r="HV24" t="e">
        <f>AND(#REF!,"AAAAAG///eU=")</f>
        <v>#REF!</v>
      </c>
      <c r="HW24" t="e">
        <f>AND(#REF!,"AAAAAG///eY=")</f>
        <v>#REF!</v>
      </c>
      <c r="HX24" t="e">
        <f>AND(#REF!,"AAAAAG///ec=")</f>
        <v>#REF!</v>
      </c>
      <c r="HY24" t="e">
        <f>AND(#REF!,"AAAAAG///eg=")</f>
        <v>#REF!</v>
      </c>
      <c r="HZ24" t="e">
        <f>AND(#REF!,"AAAAAG///ek=")</f>
        <v>#REF!</v>
      </c>
      <c r="IA24" t="e">
        <f>AND(#REF!,"AAAAAG///eo=")</f>
        <v>#REF!</v>
      </c>
      <c r="IB24" t="e">
        <f>AND(#REF!,"AAAAAG///es=")</f>
        <v>#REF!</v>
      </c>
      <c r="IC24" t="e">
        <f>AND(#REF!,"AAAAAG///ew=")</f>
        <v>#REF!</v>
      </c>
      <c r="ID24" t="e">
        <f>AND(#REF!,"AAAAAG///e0=")</f>
        <v>#REF!</v>
      </c>
      <c r="IE24" t="e">
        <f>AND(#REF!,"AAAAAG///e4=")</f>
        <v>#REF!</v>
      </c>
      <c r="IF24" t="e">
        <f>IF(#REF!,"AAAAAG///e8=",0)</f>
        <v>#REF!</v>
      </c>
      <c r="IG24" t="e">
        <f>AND(#REF!,"AAAAAG///fA=")</f>
        <v>#REF!</v>
      </c>
      <c r="IH24" t="e">
        <f>AND(#REF!,"AAAAAG///fE=")</f>
        <v>#REF!</v>
      </c>
      <c r="II24" t="e">
        <f>AND(#REF!,"AAAAAG///fI=")</f>
        <v>#REF!</v>
      </c>
      <c r="IJ24" t="e">
        <f>AND(#REF!,"AAAAAG///fM=")</f>
        <v>#REF!</v>
      </c>
      <c r="IK24" t="e">
        <f>AND(#REF!,"AAAAAG///fQ=")</f>
        <v>#REF!</v>
      </c>
      <c r="IL24" t="e">
        <f>AND(#REF!,"AAAAAG///fU=")</f>
        <v>#REF!</v>
      </c>
      <c r="IM24" t="e">
        <f>AND(#REF!,"AAAAAG///fY=")</f>
        <v>#REF!</v>
      </c>
      <c r="IN24" t="e">
        <f>AND(#REF!,"AAAAAG///fc=")</f>
        <v>#REF!</v>
      </c>
      <c r="IO24" t="e">
        <f>AND(#REF!,"AAAAAG///fg=")</f>
        <v>#REF!</v>
      </c>
      <c r="IP24" t="e">
        <f>AND(#REF!,"AAAAAG///fk=")</f>
        <v>#REF!</v>
      </c>
      <c r="IQ24" t="e">
        <f>AND(#REF!,"AAAAAG///fo=")</f>
        <v>#REF!</v>
      </c>
      <c r="IR24" t="e">
        <f>AND(#REF!,"AAAAAG///fs=")</f>
        <v>#REF!</v>
      </c>
      <c r="IS24" t="e">
        <f>IF(#REF!,"AAAAAG///fw=",0)</f>
        <v>#REF!</v>
      </c>
      <c r="IT24" t="e">
        <f>AND(#REF!,"AAAAAG///f0=")</f>
        <v>#REF!</v>
      </c>
      <c r="IU24" t="e">
        <f>AND(#REF!,"AAAAAG///f4=")</f>
        <v>#REF!</v>
      </c>
      <c r="IV24" t="e">
        <f>AND(#REF!,"AAAAAG///f8=")</f>
        <v>#REF!</v>
      </c>
    </row>
    <row r="25" spans="1:256">
      <c r="A25" t="e">
        <f>AND(#REF!,"AAAAAH9T+QA=")</f>
        <v>#REF!</v>
      </c>
      <c r="B25" t="e">
        <f>AND(#REF!,"AAAAAH9T+QE=")</f>
        <v>#REF!</v>
      </c>
      <c r="C25" t="e">
        <f>AND(#REF!,"AAAAAH9T+QI=")</f>
        <v>#REF!</v>
      </c>
      <c r="D25" t="e">
        <f>AND(#REF!,"AAAAAH9T+QM=")</f>
        <v>#REF!</v>
      </c>
      <c r="E25" t="e">
        <f>AND(#REF!,"AAAAAH9T+QQ=")</f>
        <v>#REF!</v>
      </c>
      <c r="F25" t="e">
        <f>AND(#REF!,"AAAAAH9T+QU=")</f>
        <v>#REF!</v>
      </c>
      <c r="G25" t="e">
        <f>AND(#REF!,"AAAAAH9T+QY=")</f>
        <v>#REF!</v>
      </c>
      <c r="H25" t="e">
        <f>AND(#REF!,"AAAAAH9T+Qc=")</f>
        <v>#REF!</v>
      </c>
      <c r="I25" t="e">
        <f>AND(#REF!,"AAAAAH9T+Qg=")</f>
        <v>#REF!</v>
      </c>
      <c r="J25" t="e">
        <f>IF(#REF!,"AAAAAH9T+Qk=",0)</f>
        <v>#REF!</v>
      </c>
      <c r="K25" t="e">
        <f>AND(#REF!,"AAAAAH9T+Qo=")</f>
        <v>#REF!</v>
      </c>
      <c r="L25" t="e">
        <f>AND(#REF!,"AAAAAH9T+Qs=")</f>
        <v>#REF!</v>
      </c>
      <c r="M25" t="e">
        <f>AND(#REF!,"AAAAAH9T+Qw=")</f>
        <v>#REF!</v>
      </c>
      <c r="N25" t="e">
        <f>AND(#REF!,"AAAAAH9T+Q0=")</f>
        <v>#REF!</v>
      </c>
      <c r="O25" t="e">
        <f>AND(#REF!,"AAAAAH9T+Q4=")</f>
        <v>#REF!</v>
      </c>
      <c r="P25" t="e">
        <f>AND(#REF!,"AAAAAH9T+Q8=")</f>
        <v>#REF!</v>
      </c>
      <c r="Q25" t="e">
        <f>AND(#REF!,"AAAAAH9T+RA=")</f>
        <v>#REF!</v>
      </c>
      <c r="R25" t="e">
        <f>AND(#REF!,"AAAAAH9T+RE=")</f>
        <v>#REF!</v>
      </c>
      <c r="S25" t="e">
        <f>AND(#REF!,"AAAAAH9T+RI=")</f>
        <v>#REF!</v>
      </c>
      <c r="T25" t="e">
        <f>AND(#REF!,"AAAAAH9T+RM=")</f>
        <v>#REF!</v>
      </c>
      <c r="U25" t="e">
        <f>AND(#REF!,"AAAAAH9T+RQ=")</f>
        <v>#REF!</v>
      </c>
      <c r="V25" t="e">
        <f>AND(#REF!,"AAAAAH9T+RU=")</f>
        <v>#REF!</v>
      </c>
      <c r="W25" t="e">
        <f>IF(#REF!,"AAAAAH9T+RY=",0)</f>
        <v>#REF!</v>
      </c>
      <c r="X25" t="e">
        <f>AND(#REF!,"AAAAAH9T+Rc=")</f>
        <v>#REF!</v>
      </c>
      <c r="Y25" t="e">
        <f>AND(#REF!,"AAAAAH9T+Rg=")</f>
        <v>#REF!</v>
      </c>
      <c r="Z25" t="e">
        <f>AND(#REF!,"AAAAAH9T+Rk=")</f>
        <v>#REF!</v>
      </c>
      <c r="AA25" t="e">
        <f>AND(#REF!,"AAAAAH9T+Ro=")</f>
        <v>#REF!</v>
      </c>
      <c r="AB25" t="e">
        <f>AND(#REF!,"AAAAAH9T+Rs=")</f>
        <v>#REF!</v>
      </c>
      <c r="AC25" t="e">
        <f>AND(#REF!,"AAAAAH9T+Rw=")</f>
        <v>#REF!</v>
      </c>
      <c r="AD25" t="e">
        <f>AND(#REF!,"AAAAAH9T+R0=")</f>
        <v>#REF!</v>
      </c>
      <c r="AE25" t="e">
        <f>AND(#REF!,"AAAAAH9T+R4=")</f>
        <v>#REF!</v>
      </c>
      <c r="AF25" t="e">
        <f>AND(#REF!,"AAAAAH9T+R8=")</f>
        <v>#REF!</v>
      </c>
      <c r="AG25" t="e">
        <f>AND(#REF!,"AAAAAH9T+SA=")</f>
        <v>#REF!</v>
      </c>
      <c r="AH25" t="e">
        <f>AND(#REF!,"AAAAAH9T+SE=")</f>
        <v>#REF!</v>
      </c>
      <c r="AI25" t="e">
        <f>AND(#REF!,"AAAAAH9T+SI=")</f>
        <v>#REF!</v>
      </c>
      <c r="AJ25" t="e">
        <f>IF(#REF!,"AAAAAH9T+SM=",0)</f>
        <v>#REF!</v>
      </c>
      <c r="AK25" t="e">
        <f>AND(#REF!,"AAAAAH9T+SQ=")</f>
        <v>#REF!</v>
      </c>
      <c r="AL25" t="e">
        <f>AND(#REF!,"AAAAAH9T+SU=")</f>
        <v>#REF!</v>
      </c>
      <c r="AM25" t="e">
        <f>AND(#REF!,"AAAAAH9T+SY=")</f>
        <v>#REF!</v>
      </c>
      <c r="AN25" t="e">
        <f>AND(#REF!,"AAAAAH9T+Sc=")</f>
        <v>#REF!</v>
      </c>
      <c r="AO25" t="e">
        <f>AND(#REF!,"AAAAAH9T+Sg=")</f>
        <v>#REF!</v>
      </c>
      <c r="AP25" t="e">
        <f>AND(#REF!,"AAAAAH9T+Sk=")</f>
        <v>#REF!</v>
      </c>
      <c r="AQ25" t="e">
        <f>AND(#REF!,"AAAAAH9T+So=")</f>
        <v>#REF!</v>
      </c>
      <c r="AR25" t="e">
        <f>AND(#REF!,"AAAAAH9T+Ss=")</f>
        <v>#REF!</v>
      </c>
      <c r="AS25" t="e">
        <f>AND(#REF!,"AAAAAH9T+Sw=")</f>
        <v>#REF!</v>
      </c>
      <c r="AT25" t="e">
        <f>AND(#REF!,"AAAAAH9T+S0=")</f>
        <v>#REF!</v>
      </c>
      <c r="AU25" t="e">
        <f>AND(#REF!,"AAAAAH9T+S4=")</f>
        <v>#REF!</v>
      </c>
      <c r="AV25" t="e">
        <f>AND(#REF!,"AAAAAH9T+S8=")</f>
        <v>#REF!</v>
      </c>
      <c r="AW25" t="e">
        <f>IF(#REF!,"AAAAAH9T+TA=",0)</f>
        <v>#REF!</v>
      </c>
      <c r="AX25" t="e">
        <f>AND(#REF!,"AAAAAH9T+TE=")</f>
        <v>#REF!</v>
      </c>
      <c r="AY25" t="e">
        <f>AND(#REF!,"AAAAAH9T+TI=")</f>
        <v>#REF!</v>
      </c>
      <c r="AZ25" t="e">
        <f>AND(#REF!,"AAAAAH9T+TM=")</f>
        <v>#REF!</v>
      </c>
      <c r="BA25" t="e">
        <f>AND(#REF!,"AAAAAH9T+TQ=")</f>
        <v>#REF!</v>
      </c>
      <c r="BB25" t="e">
        <f>AND(#REF!,"AAAAAH9T+TU=")</f>
        <v>#REF!</v>
      </c>
      <c r="BC25" t="e">
        <f>AND(#REF!,"AAAAAH9T+TY=")</f>
        <v>#REF!</v>
      </c>
      <c r="BD25" t="e">
        <f>AND(#REF!,"AAAAAH9T+Tc=")</f>
        <v>#REF!</v>
      </c>
      <c r="BE25" t="e">
        <f>AND(#REF!,"AAAAAH9T+Tg=")</f>
        <v>#REF!</v>
      </c>
      <c r="BF25" t="e">
        <f>AND(#REF!,"AAAAAH9T+Tk=")</f>
        <v>#REF!</v>
      </c>
      <c r="BG25" t="e">
        <f>AND(#REF!,"AAAAAH9T+To=")</f>
        <v>#REF!</v>
      </c>
      <c r="BH25" t="e">
        <f>AND(#REF!,"AAAAAH9T+Ts=")</f>
        <v>#REF!</v>
      </c>
      <c r="BI25" t="e">
        <f>AND(#REF!,"AAAAAH9T+Tw=")</f>
        <v>#REF!</v>
      </c>
      <c r="BJ25" t="e">
        <f>IF(#REF!,"AAAAAH9T+T0=",0)</f>
        <v>#REF!</v>
      </c>
      <c r="BK25" t="e">
        <f>AND(#REF!,"AAAAAH9T+T4=")</f>
        <v>#REF!</v>
      </c>
      <c r="BL25" t="e">
        <f>AND(#REF!,"AAAAAH9T+T8=")</f>
        <v>#REF!</v>
      </c>
      <c r="BM25" t="e">
        <f>AND(#REF!,"AAAAAH9T+UA=")</f>
        <v>#REF!</v>
      </c>
      <c r="BN25" t="e">
        <f>AND(#REF!,"AAAAAH9T+UE=")</f>
        <v>#REF!</v>
      </c>
      <c r="BO25" t="e">
        <f>AND(#REF!,"AAAAAH9T+UI=")</f>
        <v>#REF!</v>
      </c>
      <c r="BP25" t="e">
        <f>AND(#REF!,"AAAAAH9T+UM=")</f>
        <v>#REF!</v>
      </c>
      <c r="BQ25" t="e">
        <f>AND(#REF!,"AAAAAH9T+UQ=")</f>
        <v>#REF!</v>
      </c>
      <c r="BR25" t="e">
        <f>AND(#REF!,"AAAAAH9T+UU=")</f>
        <v>#REF!</v>
      </c>
      <c r="BS25" t="e">
        <f>AND(#REF!,"AAAAAH9T+UY=")</f>
        <v>#REF!</v>
      </c>
      <c r="BT25" t="e">
        <f>AND(#REF!,"AAAAAH9T+Uc=")</f>
        <v>#REF!</v>
      </c>
      <c r="BU25" t="e">
        <f>AND(#REF!,"AAAAAH9T+Ug=")</f>
        <v>#REF!</v>
      </c>
      <c r="BV25" t="e">
        <f>AND(#REF!,"AAAAAH9T+Uk=")</f>
        <v>#REF!</v>
      </c>
      <c r="BW25" t="e">
        <f>IF(#REF!,"AAAAAH9T+Uo=",0)</f>
        <v>#REF!</v>
      </c>
      <c r="BX25" t="e">
        <f>AND(#REF!,"AAAAAH9T+Us=")</f>
        <v>#REF!</v>
      </c>
      <c r="BY25" t="e">
        <f>AND(#REF!,"AAAAAH9T+Uw=")</f>
        <v>#REF!</v>
      </c>
      <c r="BZ25" t="e">
        <f>AND(#REF!,"AAAAAH9T+U0=")</f>
        <v>#REF!</v>
      </c>
      <c r="CA25" t="e">
        <f>AND(#REF!,"AAAAAH9T+U4=")</f>
        <v>#REF!</v>
      </c>
      <c r="CB25" t="e">
        <f>AND(#REF!,"AAAAAH9T+U8=")</f>
        <v>#REF!</v>
      </c>
      <c r="CC25" t="e">
        <f>AND(#REF!,"AAAAAH9T+VA=")</f>
        <v>#REF!</v>
      </c>
      <c r="CD25" t="e">
        <f>AND(#REF!,"AAAAAH9T+VE=")</f>
        <v>#REF!</v>
      </c>
      <c r="CE25" t="e">
        <f>AND(#REF!,"AAAAAH9T+VI=")</f>
        <v>#REF!</v>
      </c>
      <c r="CF25" t="e">
        <f>AND(#REF!,"AAAAAH9T+VM=")</f>
        <v>#REF!</v>
      </c>
      <c r="CG25" t="e">
        <f>AND(#REF!,"AAAAAH9T+VQ=")</f>
        <v>#REF!</v>
      </c>
      <c r="CH25" t="e">
        <f>AND(#REF!,"AAAAAH9T+VU=")</f>
        <v>#REF!</v>
      </c>
      <c r="CI25" t="e">
        <f>AND(#REF!,"AAAAAH9T+VY=")</f>
        <v>#REF!</v>
      </c>
      <c r="CJ25" t="e">
        <f>IF(#REF!,"AAAAAH9T+Vc=",0)</f>
        <v>#REF!</v>
      </c>
      <c r="CK25" t="e">
        <f>AND(#REF!,"AAAAAH9T+Vg=")</f>
        <v>#REF!</v>
      </c>
      <c r="CL25" t="e">
        <f>AND(#REF!,"AAAAAH9T+Vk=")</f>
        <v>#REF!</v>
      </c>
      <c r="CM25" t="e">
        <f>AND(#REF!,"AAAAAH9T+Vo=")</f>
        <v>#REF!</v>
      </c>
      <c r="CN25" t="e">
        <f>AND(#REF!,"AAAAAH9T+Vs=")</f>
        <v>#REF!</v>
      </c>
      <c r="CO25" t="e">
        <f>AND(#REF!,"AAAAAH9T+Vw=")</f>
        <v>#REF!</v>
      </c>
      <c r="CP25" t="e">
        <f>AND(#REF!,"AAAAAH9T+V0=")</f>
        <v>#REF!</v>
      </c>
      <c r="CQ25" t="e">
        <f>AND(#REF!,"AAAAAH9T+V4=")</f>
        <v>#REF!</v>
      </c>
      <c r="CR25" t="e">
        <f>AND(#REF!,"AAAAAH9T+V8=")</f>
        <v>#REF!</v>
      </c>
      <c r="CS25" t="e">
        <f>AND(#REF!,"AAAAAH9T+WA=")</f>
        <v>#REF!</v>
      </c>
      <c r="CT25" t="e">
        <f>AND(#REF!,"AAAAAH9T+WE=")</f>
        <v>#REF!</v>
      </c>
      <c r="CU25" t="e">
        <f>AND(#REF!,"AAAAAH9T+WI=")</f>
        <v>#REF!</v>
      </c>
      <c r="CV25" t="e">
        <f>AND(#REF!,"AAAAAH9T+WM=")</f>
        <v>#REF!</v>
      </c>
      <c r="CW25" t="e">
        <f>IF(#REF!,"AAAAAH9T+WQ=",0)</f>
        <v>#REF!</v>
      </c>
      <c r="CX25" t="e">
        <f>AND(#REF!,"AAAAAH9T+WU=")</f>
        <v>#REF!</v>
      </c>
      <c r="CY25" t="e">
        <f>AND(#REF!,"AAAAAH9T+WY=")</f>
        <v>#REF!</v>
      </c>
      <c r="CZ25" t="e">
        <f>AND(#REF!,"AAAAAH9T+Wc=")</f>
        <v>#REF!</v>
      </c>
      <c r="DA25" t="e">
        <f>AND(#REF!,"AAAAAH9T+Wg=")</f>
        <v>#REF!</v>
      </c>
      <c r="DB25" t="e">
        <f>AND(#REF!,"AAAAAH9T+Wk=")</f>
        <v>#REF!</v>
      </c>
      <c r="DC25" t="e">
        <f>AND(#REF!,"AAAAAH9T+Wo=")</f>
        <v>#REF!</v>
      </c>
      <c r="DD25" t="e">
        <f>AND(#REF!,"AAAAAH9T+Ws=")</f>
        <v>#REF!</v>
      </c>
      <c r="DE25" t="e">
        <f>AND(#REF!,"AAAAAH9T+Ww=")</f>
        <v>#REF!</v>
      </c>
      <c r="DF25" t="e">
        <f>AND(#REF!,"AAAAAH9T+W0=")</f>
        <v>#REF!</v>
      </c>
      <c r="DG25" t="e">
        <f>AND(#REF!,"AAAAAH9T+W4=")</f>
        <v>#REF!</v>
      </c>
      <c r="DH25" t="e">
        <f>AND(#REF!,"AAAAAH9T+W8=")</f>
        <v>#REF!</v>
      </c>
      <c r="DI25" t="e">
        <f>AND(#REF!,"AAAAAH9T+XA=")</f>
        <v>#REF!</v>
      </c>
      <c r="DJ25" t="e">
        <f>IF(#REF!,"AAAAAH9T+XE=",0)</f>
        <v>#REF!</v>
      </c>
      <c r="DK25" t="e">
        <f>AND(#REF!,"AAAAAH9T+XI=")</f>
        <v>#REF!</v>
      </c>
      <c r="DL25" t="e">
        <f>AND(#REF!,"AAAAAH9T+XM=")</f>
        <v>#REF!</v>
      </c>
      <c r="DM25" t="e">
        <f>AND(#REF!,"AAAAAH9T+XQ=")</f>
        <v>#REF!</v>
      </c>
      <c r="DN25" t="e">
        <f>AND(#REF!,"AAAAAH9T+XU=")</f>
        <v>#REF!</v>
      </c>
      <c r="DO25" t="e">
        <f>AND(#REF!,"AAAAAH9T+XY=")</f>
        <v>#REF!</v>
      </c>
      <c r="DP25" t="e">
        <f>AND(#REF!,"AAAAAH9T+Xc=")</f>
        <v>#REF!</v>
      </c>
      <c r="DQ25" t="e">
        <f>AND(#REF!,"AAAAAH9T+Xg=")</f>
        <v>#REF!</v>
      </c>
      <c r="DR25" t="e">
        <f>AND(#REF!,"AAAAAH9T+Xk=")</f>
        <v>#REF!</v>
      </c>
      <c r="DS25" t="e">
        <f>AND(#REF!,"AAAAAH9T+Xo=")</f>
        <v>#REF!</v>
      </c>
      <c r="DT25" t="e">
        <f>AND(#REF!,"AAAAAH9T+Xs=")</f>
        <v>#REF!</v>
      </c>
      <c r="DU25" t="e">
        <f>AND(#REF!,"AAAAAH9T+Xw=")</f>
        <v>#REF!</v>
      </c>
      <c r="DV25" t="e">
        <f>AND(#REF!,"AAAAAH9T+X0=")</f>
        <v>#REF!</v>
      </c>
      <c r="DW25" t="e">
        <f>IF(#REF!,"AAAAAH9T+X4=",0)</f>
        <v>#REF!</v>
      </c>
      <c r="DX25" t="e">
        <f>AND(#REF!,"AAAAAH9T+X8=")</f>
        <v>#REF!</v>
      </c>
      <c r="DY25" t="e">
        <f>AND(#REF!,"AAAAAH9T+YA=")</f>
        <v>#REF!</v>
      </c>
      <c r="DZ25" t="e">
        <f>AND(#REF!,"AAAAAH9T+YE=")</f>
        <v>#REF!</v>
      </c>
      <c r="EA25" t="e">
        <f>AND(#REF!,"AAAAAH9T+YI=")</f>
        <v>#REF!</v>
      </c>
      <c r="EB25" t="e">
        <f>AND(#REF!,"AAAAAH9T+YM=")</f>
        <v>#REF!</v>
      </c>
      <c r="EC25" t="e">
        <f>AND(#REF!,"AAAAAH9T+YQ=")</f>
        <v>#REF!</v>
      </c>
      <c r="ED25" t="e">
        <f>AND(#REF!,"AAAAAH9T+YU=")</f>
        <v>#REF!</v>
      </c>
      <c r="EE25" t="e">
        <f>AND(#REF!,"AAAAAH9T+YY=")</f>
        <v>#REF!</v>
      </c>
      <c r="EF25" t="e">
        <f>AND(#REF!,"AAAAAH9T+Yc=")</f>
        <v>#REF!</v>
      </c>
      <c r="EG25" t="e">
        <f>AND(#REF!,"AAAAAH9T+Yg=")</f>
        <v>#REF!</v>
      </c>
      <c r="EH25" t="e">
        <f>AND(#REF!,"AAAAAH9T+Yk=")</f>
        <v>#REF!</v>
      </c>
      <c r="EI25" t="e">
        <f>AND(#REF!,"AAAAAH9T+Yo=")</f>
        <v>#REF!</v>
      </c>
      <c r="EJ25" t="e">
        <f>IF(#REF!,"AAAAAH9T+Ys=",0)</f>
        <v>#REF!</v>
      </c>
      <c r="EK25" t="e">
        <f>AND(#REF!,"AAAAAH9T+Yw=")</f>
        <v>#REF!</v>
      </c>
      <c r="EL25" t="e">
        <f>AND(#REF!,"AAAAAH9T+Y0=")</f>
        <v>#REF!</v>
      </c>
      <c r="EM25" t="e">
        <f>AND(#REF!,"AAAAAH9T+Y4=")</f>
        <v>#REF!</v>
      </c>
      <c r="EN25" t="e">
        <f>AND(#REF!,"AAAAAH9T+Y8=")</f>
        <v>#REF!</v>
      </c>
      <c r="EO25" t="e">
        <f>AND(#REF!,"AAAAAH9T+ZA=")</f>
        <v>#REF!</v>
      </c>
      <c r="EP25" t="e">
        <f>AND(#REF!,"AAAAAH9T+ZE=")</f>
        <v>#REF!</v>
      </c>
      <c r="EQ25" t="e">
        <f>AND(#REF!,"AAAAAH9T+ZI=")</f>
        <v>#REF!</v>
      </c>
      <c r="ER25" t="e">
        <f>AND(#REF!,"AAAAAH9T+ZM=")</f>
        <v>#REF!</v>
      </c>
      <c r="ES25" t="e">
        <f>AND(#REF!,"AAAAAH9T+ZQ=")</f>
        <v>#REF!</v>
      </c>
      <c r="ET25" t="e">
        <f>AND(#REF!,"AAAAAH9T+ZU=")</f>
        <v>#REF!</v>
      </c>
      <c r="EU25" t="e">
        <f>AND(#REF!,"AAAAAH9T+ZY=")</f>
        <v>#REF!</v>
      </c>
      <c r="EV25" t="e">
        <f>AND(#REF!,"AAAAAH9T+Zc=")</f>
        <v>#REF!</v>
      </c>
      <c r="EW25" t="e">
        <f>IF(#REF!,"AAAAAH9T+Zg=",0)</f>
        <v>#REF!</v>
      </c>
      <c r="EX25" t="e">
        <f>AND(#REF!,"AAAAAH9T+Zk=")</f>
        <v>#REF!</v>
      </c>
      <c r="EY25" t="e">
        <f>AND(#REF!,"AAAAAH9T+Zo=")</f>
        <v>#REF!</v>
      </c>
      <c r="EZ25" t="e">
        <f>AND(#REF!,"AAAAAH9T+Zs=")</f>
        <v>#REF!</v>
      </c>
      <c r="FA25" t="e">
        <f>AND(#REF!,"AAAAAH9T+Zw=")</f>
        <v>#REF!</v>
      </c>
      <c r="FB25" t="e">
        <f>AND(#REF!,"AAAAAH9T+Z0=")</f>
        <v>#REF!</v>
      </c>
      <c r="FC25" t="e">
        <f>AND(#REF!,"AAAAAH9T+Z4=")</f>
        <v>#REF!</v>
      </c>
      <c r="FD25" t="e">
        <f>AND(#REF!,"AAAAAH9T+Z8=")</f>
        <v>#REF!</v>
      </c>
      <c r="FE25" t="e">
        <f>AND(#REF!,"AAAAAH9T+aA=")</f>
        <v>#REF!</v>
      </c>
      <c r="FF25" t="e">
        <f>AND(#REF!,"AAAAAH9T+aE=")</f>
        <v>#REF!</v>
      </c>
      <c r="FG25" t="e">
        <f>AND(#REF!,"AAAAAH9T+aI=")</f>
        <v>#REF!</v>
      </c>
      <c r="FH25" t="e">
        <f>AND(#REF!,"AAAAAH9T+aM=")</f>
        <v>#REF!</v>
      </c>
      <c r="FI25" t="e">
        <f>AND(#REF!,"AAAAAH9T+aQ=")</f>
        <v>#REF!</v>
      </c>
      <c r="FJ25" t="e">
        <f>IF(#REF!,"AAAAAH9T+aU=",0)</f>
        <v>#REF!</v>
      </c>
      <c r="FK25" t="e">
        <f>AND(#REF!,"AAAAAH9T+aY=")</f>
        <v>#REF!</v>
      </c>
      <c r="FL25" t="e">
        <f>AND(#REF!,"AAAAAH9T+ac=")</f>
        <v>#REF!</v>
      </c>
      <c r="FM25" t="e">
        <f>AND(#REF!,"AAAAAH9T+ag=")</f>
        <v>#REF!</v>
      </c>
      <c r="FN25" t="e">
        <f>AND(#REF!,"AAAAAH9T+ak=")</f>
        <v>#REF!</v>
      </c>
      <c r="FO25" t="e">
        <f>AND(#REF!,"AAAAAH9T+ao=")</f>
        <v>#REF!</v>
      </c>
      <c r="FP25" t="e">
        <f>AND(#REF!,"AAAAAH9T+as=")</f>
        <v>#REF!</v>
      </c>
      <c r="FQ25" t="e">
        <f>AND(#REF!,"AAAAAH9T+aw=")</f>
        <v>#REF!</v>
      </c>
      <c r="FR25" t="e">
        <f>AND(#REF!,"AAAAAH9T+a0=")</f>
        <v>#REF!</v>
      </c>
      <c r="FS25" t="e">
        <f>AND(#REF!,"AAAAAH9T+a4=")</f>
        <v>#REF!</v>
      </c>
      <c r="FT25" t="e">
        <f>AND(#REF!,"AAAAAH9T+a8=")</f>
        <v>#REF!</v>
      </c>
      <c r="FU25" t="e">
        <f>AND(#REF!,"AAAAAH9T+bA=")</f>
        <v>#REF!</v>
      </c>
      <c r="FV25" t="e">
        <f>AND(#REF!,"AAAAAH9T+bE=")</f>
        <v>#REF!</v>
      </c>
      <c r="FW25" t="e">
        <f>IF(#REF!,"AAAAAH9T+bI=",0)</f>
        <v>#REF!</v>
      </c>
      <c r="FX25" t="e">
        <f>AND(#REF!,"AAAAAH9T+bM=")</f>
        <v>#REF!</v>
      </c>
      <c r="FY25" t="e">
        <f>AND(#REF!,"AAAAAH9T+bQ=")</f>
        <v>#REF!</v>
      </c>
      <c r="FZ25" t="e">
        <f>AND(#REF!,"AAAAAH9T+bU=")</f>
        <v>#REF!</v>
      </c>
      <c r="GA25" t="e">
        <f>AND(#REF!,"AAAAAH9T+bY=")</f>
        <v>#REF!</v>
      </c>
      <c r="GB25" t="e">
        <f>AND(#REF!,"AAAAAH9T+bc=")</f>
        <v>#REF!</v>
      </c>
      <c r="GC25" t="e">
        <f>AND(#REF!,"AAAAAH9T+bg=")</f>
        <v>#REF!</v>
      </c>
      <c r="GD25" t="e">
        <f>AND(#REF!,"AAAAAH9T+bk=")</f>
        <v>#REF!</v>
      </c>
      <c r="GE25" t="e">
        <f>AND(#REF!,"AAAAAH9T+bo=")</f>
        <v>#REF!</v>
      </c>
      <c r="GF25" t="e">
        <f>AND(#REF!,"AAAAAH9T+bs=")</f>
        <v>#REF!</v>
      </c>
      <c r="GG25" t="e">
        <f>AND(#REF!,"AAAAAH9T+bw=")</f>
        <v>#REF!</v>
      </c>
      <c r="GH25" t="e">
        <f>AND(#REF!,"AAAAAH9T+b0=")</f>
        <v>#REF!</v>
      </c>
      <c r="GI25" t="e">
        <f>AND(#REF!,"AAAAAH9T+b4=")</f>
        <v>#REF!</v>
      </c>
      <c r="GJ25" t="e">
        <f>IF(#REF!,"AAAAAH9T+b8=",0)</f>
        <v>#REF!</v>
      </c>
      <c r="GK25" t="e">
        <f>AND(#REF!,"AAAAAH9T+cA=")</f>
        <v>#REF!</v>
      </c>
      <c r="GL25" t="e">
        <f>AND(#REF!,"AAAAAH9T+cE=")</f>
        <v>#REF!</v>
      </c>
      <c r="GM25" t="e">
        <f>AND(#REF!,"AAAAAH9T+cI=")</f>
        <v>#REF!</v>
      </c>
      <c r="GN25" t="e">
        <f>AND(#REF!,"AAAAAH9T+cM=")</f>
        <v>#REF!</v>
      </c>
      <c r="GO25" t="e">
        <f>AND(#REF!,"AAAAAH9T+cQ=")</f>
        <v>#REF!</v>
      </c>
      <c r="GP25" t="e">
        <f>AND(#REF!,"AAAAAH9T+cU=")</f>
        <v>#REF!</v>
      </c>
      <c r="GQ25" t="e">
        <f>AND(#REF!,"AAAAAH9T+cY=")</f>
        <v>#REF!</v>
      </c>
      <c r="GR25" t="e">
        <f>AND(#REF!,"AAAAAH9T+cc=")</f>
        <v>#REF!</v>
      </c>
      <c r="GS25" t="e">
        <f>AND(#REF!,"AAAAAH9T+cg=")</f>
        <v>#REF!</v>
      </c>
      <c r="GT25" t="e">
        <f>AND(#REF!,"AAAAAH9T+ck=")</f>
        <v>#REF!</v>
      </c>
      <c r="GU25" t="e">
        <f>AND(#REF!,"AAAAAH9T+co=")</f>
        <v>#REF!</v>
      </c>
      <c r="GV25" t="e">
        <f>AND(#REF!,"AAAAAH9T+cs=")</f>
        <v>#REF!</v>
      </c>
      <c r="GW25" t="e">
        <f>IF(#REF!,"AAAAAH9T+cw=",0)</f>
        <v>#REF!</v>
      </c>
      <c r="GX25" t="e">
        <f>AND(#REF!,"AAAAAH9T+c0=")</f>
        <v>#REF!</v>
      </c>
      <c r="GY25" t="e">
        <f>AND(#REF!,"AAAAAH9T+c4=")</f>
        <v>#REF!</v>
      </c>
      <c r="GZ25" t="e">
        <f>AND(#REF!,"AAAAAH9T+c8=")</f>
        <v>#REF!</v>
      </c>
      <c r="HA25" t="e">
        <f>AND(#REF!,"AAAAAH9T+dA=")</f>
        <v>#REF!</v>
      </c>
      <c r="HB25" t="e">
        <f>AND(#REF!,"AAAAAH9T+dE=")</f>
        <v>#REF!</v>
      </c>
      <c r="HC25" t="e">
        <f>AND(#REF!,"AAAAAH9T+dI=")</f>
        <v>#REF!</v>
      </c>
      <c r="HD25" t="e">
        <f>AND(#REF!,"AAAAAH9T+dM=")</f>
        <v>#REF!</v>
      </c>
      <c r="HE25" t="e">
        <f>AND(#REF!,"AAAAAH9T+dQ=")</f>
        <v>#REF!</v>
      </c>
      <c r="HF25" t="e">
        <f>AND(#REF!,"AAAAAH9T+dU=")</f>
        <v>#REF!</v>
      </c>
      <c r="HG25" t="e">
        <f>AND(#REF!,"AAAAAH9T+dY=")</f>
        <v>#REF!</v>
      </c>
      <c r="HH25" t="e">
        <f>AND(#REF!,"AAAAAH9T+dc=")</f>
        <v>#REF!</v>
      </c>
      <c r="HI25" t="e">
        <f>AND(#REF!,"AAAAAH9T+dg=")</f>
        <v>#REF!</v>
      </c>
      <c r="HJ25" t="e">
        <f>IF(#REF!,"AAAAAH9T+dk=",0)</f>
        <v>#REF!</v>
      </c>
      <c r="HK25" t="e">
        <f>AND(#REF!,"AAAAAH9T+do=")</f>
        <v>#REF!</v>
      </c>
      <c r="HL25" t="e">
        <f>AND(#REF!,"AAAAAH9T+ds=")</f>
        <v>#REF!</v>
      </c>
      <c r="HM25" t="e">
        <f>AND(#REF!,"AAAAAH9T+dw=")</f>
        <v>#REF!</v>
      </c>
      <c r="HN25" t="e">
        <f>AND(#REF!,"AAAAAH9T+d0=")</f>
        <v>#REF!</v>
      </c>
      <c r="HO25" t="e">
        <f>AND(#REF!,"AAAAAH9T+d4=")</f>
        <v>#REF!</v>
      </c>
      <c r="HP25" t="e">
        <f>AND(#REF!,"AAAAAH9T+d8=")</f>
        <v>#REF!</v>
      </c>
      <c r="HQ25" t="e">
        <f>AND(#REF!,"AAAAAH9T+eA=")</f>
        <v>#REF!</v>
      </c>
      <c r="HR25" t="e">
        <f>AND(#REF!,"AAAAAH9T+eE=")</f>
        <v>#REF!</v>
      </c>
      <c r="HS25" t="e">
        <f>AND(#REF!,"AAAAAH9T+eI=")</f>
        <v>#REF!</v>
      </c>
      <c r="HT25" t="e">
        <f>AND(#REF!,"AAAAAH9T+eM=")</f>
        <v>#REF!</v>
      </c>
      <c r="HU25" t="e">
        <f>AND(#REF!,"AAAAAH9T+eQ=")</f>
        <v>#REF!</v>
      </c>
      <c r="HV25" t="e">
        <f>AND(#REF!,"AAAAAH9T+eU=")</f>
        <v>#REF!</v>
      </c>
      <c r="HW25" t="e">
        <f>IF(#REF!,"AAAAAH9T+eY=",0)</f>
        <v>#REF!</v>
      </c>
      <c r="HX25" t="e">
        <f>AND(#REF!,"AAAAAH9T+ec=")</f>
        <v>#REF!</v>
      </c>
      <c r="HY25" t="e">
        <f>AND(#REF!,"AAAAAH9T+eg=")</f>
        <v>#REF!</v>
      </c>
      <c r="HZ25" t="e">
        <f>AND(#REF!,"AAAAAH9T+ek=")</f>
        <v>#REF!</v>
      </c>
      <c r="IA25" t="e">
        <f>AND(#REF!,"AAAAAH9T+eo=")</f>
        <v>#REF!</v>
      </c>
      <c r="IB25" t="e">
        <f>AND(#REF!,"AAAAAH9T+es=")</f>
        <v>#REF!</v>
      </c>
      <c r="IC25" t="e">
        <f>AND(#REF!,"AAAAAH9T+ew=")</f>
        <v>#REF!</v>
      </c>
      <c r="ID25" t="e">
        <f>AND(#REF!,"AAAAAH9T+e0=")</f>
        <v>#REF!</v>
      </c>
      <c r="IE25" t="e">
        <f>AND(#REF!,"AAAAAH9T+e4=")</f>
        <v>#REF!</v>
      </c>
      <c r="IF25" t="e">
        <f>AND(#REF!,"AAAAAH9T+e8=")</f>
        <v>#REF!</v>
      </c>
      <c r="IG25" t="e">
        <f>AND(#REF!,"AAAAAH9T+fA=")</f>
        <v>#REF!</v>
      </c>
      <c r="IH25" t="e">
        <f>AND(#REF!,"AAAAAH9T+fE=")</f>
        <v>#REF!</v>
      </c>
      <c r="II25" t="e">
        <f>AND(#REF!,"AAAAAH9T+fI=")</f>
        <v>#REF!</v>
      </c>
      <c r="IJ25" t="e">
        <f>IF(#REF!,"AAAAAH9T+fM=",0)</f>
        <v>#REF!</v>
      </c>
      <c r="IK25" t="e">
        <f>AND(#REF!,"AAAAAH9T+fQ=")</f>
        <v>#REF!</v>
      </c>
      <c r="IL25" t="e">
        <f>AND(#REF!,"AAAAAH9T+fU=")</f>
        <v>#REF!</v>
      </c>
      <c r="IM25" t="e">
        <f>AND(#REF!,"AAAAAH9T+fY=")</f>
        <v>#REF!</v>
      </c>
      <c r="IN25" t="e">
        <f>AND(#REF!,"AAAAAH9T+fc=")</f>
        <v>#REF!</v>
      </c>
      <c r="IO25" t="e">
        <f>AND(#REF!,"AAAAAH9T+fg=")</f>
        <v>#REF!</v>
      </c>
      <c r="IP25" t="e">
        <f>AND(#REF!,"AAAAAH9T+fk=")</f>
        <v>#REF!</v>
      </c>
      <c r="IQ25" t="e">
        <f>AND(#REF!,"AAAAAH9T+fo=")</f>
        <v>#REF!</v>
      </c>
      <c r="IR25" t="e">
        <f>AND(#REF!,"AAAAAH9T+fs=")</f>
        <v>#REF!</v>
      </c>
      <c r="IS25" t="e">
        <f>AND(#REF!,"AAAAAH9T+fw=")</f>
        <v>#REF!</v>
      </c>
      <c r="IT25" t="e">
        <f>AND(#REF!,"AAAAAH9T+f0=")</f>
        <v>#REF!</v>
      </c>
      <c r="IU25" t="e">
        <f>AND(#REF!,"AAAAAH9T+f4=")</f>
        <v>#REF!</v>
      </c>
      <c r="IV25" t="e">
        <f>AND(#REF!,"AAAAAH9T+f8=")</f>
        <v>#REF!</v>
      </c>
    </row>
    <row r="26" spans="1:256">
      <c r="A26" t="e">
        <f>IF(#REF!,"AAAAAHzqngA=",0)</f>
        <v>#REF!</v>
      </c>
      <c r="B26" t="e">
        <f>AND(#REF!,"AAAAAHzqngE=")</f>
        <v>#REF!</v>
      </c>
      <c r="C26" t="e">
        <f>AND(#REF!,"AAAAAHzqngI=")</f>
        <v>#REF!</v>
      </c>
      <c r="D26" t="e">
        <f>AND(#REF!,"AAAAAHzqngM=")</f>
        <v>#REF!</v>
      </c>
      <c r="E26" t="e">
        <f>AND(#REF!,"AAAAAHzqngQ=")</f>
        <v>#REF!</v>
      </c>
      <c r="F26" t="e">
        <f>AND(#REF!,"AAAAAHzqngU=")</f>
        <v>#REF!</v>
      </c>
      <c r="G26" t="e">
        <f>AND(#REF!,"AAAAAHzqngY=")</f>
        <v>#REF!</v>
      </c>
      <c r="H26" t="e">
        <f>AND(#REF!,"AAAAAHzqngc=")</f>
        <v>#REF!</v>
      </c>
      <c r="I26" t="e">
        <f>AND(#REF!,"AAAAAHzqngg=")</f>
        <v>#REF!</v>
      </c>
      <c r="J26" t="e">
        <f>AND(#REF!,"AAAAAHzqngk=")</f>
        <v>#REF!</v>
      </c>
      <c r="K26" t="e">
        <f>AND(#REF!,"AAAAAHzqngo=")</f>
        <v>#REF!</v>
      </c>
      <c r="L26" t="e">
        <f>AND(#REF!,"AAAAAHzqngs=")</f>
        <v>#REF!</v>
      </c>
      <c r="M26" t="e">
        <f>AND(#REF!,"AAAAAHzqngw=")</f>
        <v>#REF!</v>
      </c>
      <c r="N26" t="e">
        <f>IF(#REF!,"AAAAAHzqng0=",0)</f>
        <v>#REF!</v>
      </c>
      <c r="O26" t="e">
        <f>AND(#REF!,"AAAAAHzqng4=")</f>
        <v>#REF!</v>
      </c>
      <c r="P26" t="e">
        <f>AND(#REF!,"AAAAAHzqng8=")</f>
        <v>#REF!</v>
      </c>
      <c r="Q26" t="e">
        <f>AND(#REF!,"AAAAAHzqnhA=")</f>
        <v>#REF!</v>
      </c>
      <c r="R26" t="e">
        <f>AND(#REF!,"AAAAAHzqnhE=")</f>
        <v>#REF!</v>
      </c>
      <c r="S26" t="e">
        <f>AND(#REF!,"AAAAAHzqnhI=")</f>
        <v>#REF!</v>
      </c>
      <c r="T26" t="e">
        <f>AND(#REF!,"AAAAAHzqnhM=")</f>
        <v>#REF!</v>
      </c>
      <c r="U26" t="e">
        <f>AND(#REF!,"AAAAAHzqnhQ=")</f>
        <v>#REF!</v>
      </c>
      <c r="V26" t="e">
        <f>AND(#REF!,"AAAAAHzqnhU=")</f>
        <v>#REF!</v>
      </c>
      <c r="W26" t="e">
        <f>AND(#REF!,"AAAAAHzqnhY=")</f>
        <v>#REF!</v>
      </c>
      <c r="X26" t="e">
        <f>AND(#REF!,"AAAAAHzqnhc=")</f>
        <v>#REF!</v>
      </c>
      <c r="Y26" t="e">
        <f>AND(#REF!,"AAAAAHzqnhg=")</f>
        <v>#REF!</v>
      </c>
      <c r="Z26" t="e">
        <f>AND(#REF!,"AAAAAHzqnhk=")</f>
        <v>#REF!</v>
      </c>
      <c r="AA26" t="e">
        <f>IF(#REF!,"AAAAAHzqnho=",0)</f>
        <v>#REF!</v>
      </c>
      <c r="AB26" t="e">
        <f>AND(#REF!,"AAAAAHzqnhs=")</f>
        <v>#REF!</v>
      </c>
      <c r="AC26" t="e">
        <f>AND(#REF!,"AAAAAHzqnhw=")</f>
        <v>#REF!</v>
      </c>
      <c r="AD26" t="e">
        <f>AND(#REF!,"AAAAAHzqnh0=")</f>
        <v>#REF!</v>
      </c>
      <c r="AE26" t="e">
        <f>AND(#REF!,"AAAAAHzqnh4=")</f>
        <v>#REF!</v>
      </c>
      <c r="AF26" t="e">
        <f>AND(#REF!,"AAAAAHzqnh8=")</f>
        <v>#REF!</v>
      </c>
      <c r="AG26" t="e">
        <f>AND(#REF!,"AAAAAHzqniA=")</f>
        <v>#REF!</v>
      </c>
      <c r="AH26" t="e">
        <f>AND(#REF!,"AAAAAHzqniE=")</f>
        <v>#REF!</v>
      </c>
      <c r="AI26" t="e">
        <f>AND(#REF!,"AAAAAHzqniI=")</f>
        <v>#REF!</v>
      </c>
      <c r="AJ26" t="e">
        <f>AND(#REF!,"AAAAAHzqniM=")</f>
        <v>#REF!</v>
      </c>
      <c r="AK26" t="e">
        <f>AND(#REF!,"AAAAAHzqniQ=")</f>
        <v>#REF!</v>
      </c>
      <c r="AL26" t="e">
        <f>AND(#REF!,"AAAAAHzqniU=")</f>
        <v>#REF!</v>
      </c>
      <c r="AM26" t="e">
        <f>AND(#REF!,"AAAAAHzqniY=")</f>
        <v>#REF!</v>
      </c>
      <c r="AN26" t="e">
        <f>IF(#REF!,"AAAAAHzqnic=",0)</f>
        <v>#REF!</v>
      </c>
      <c r="AO26" t="e">
        <f>AND(#REF!,"AAAAAHzqnig=")</f>
        <v>#REF!</v>
      </c>
      <c r="AP26" t="e">
        <f>AND(#REF!,"AAAAAHzqnik=")</f>
        <v>#REF!</v>
      </c>
      <c r="AQ26" t="e">
        <f>AND(#REF!,"AAAAAHzqnio=")</f>
        <v>#REF!</v>
      </c>
      <c r="AR26" t="e">
        <f>AND(#REF!,"AAAAAHzqnis=")</f>
        <v>#REF!</v>
      </c>
      <c r="AS26" t="e">
        <f>AND(#REF!,"AAAAAHzqniw=")</f>
        <v>#REF!</v>
      </c>
      <c r="AT26" t="e">
        <f>AND(#REF!,"AAAAAHzqni0=")</f>
        <v>#REF!</v>
      </c>
      <c r="AU26" t="e">
        <f>AND(#REF!,"AAAAAHzqni4=")</f>
        <v>#REF!</v>
      </c>
      <c r="AV26" t="e">
        <f>AND(#REF!,"AAAAAHzqni8=")</f>
        <v>#REF!</v>
      </c>
      <c r="AW26" t="e">
        <f>AND(#REF!,"AAAAAHzqnjA=")</f>
        <v>#REF!</v>
      </c>
      <c r="AX26" t="e">
        <f>AND(#REF!,"AAAAAHzqnjE=")</f>
        <v>#REF!</v>
      </c>
      <c r="AY26" t="e">
        <f>AND(#REF!,"AAAAAHzqnjI=")</f>
        <v>#REF!</v>
      </c>
      <c r="AZ26" t="e">
        <f>AND(#REF!,"AAAAAHzqnjM=")</f>
        <v>#REF!</v>
      </c>
      <c r="BA26" t="e">
        <f>IF(#REF!,"AAAAAHzqnjQ=",0)</f>
        <v>#REF!</v>
      </c>
      <c r="BB26" t="e">
        <f>AND(#REF!,"AAAAAHzqnjU=")</f>
        <v>#REF!</v>
      </c>
      <c r="BC26" t="e">
        <f>AND(#REF!,"AAAAAHzqnjY=")</f>
        <v>#REF!</v>
      </c>
      <c r="BD26" t="e">
        <f>AND(#REF!,"AAAAAHzqnjc=")</f>
        <v>#REF!</v>
      </c>
      <c r="BE26" t="e">
        <f>AND(#REF!,"AAAAAHzqnjg=")</f>
        <v>#REF!</v>
      </c>
      <c r="BF26" t="e">
        <f>AND(#REF!,"AAAAAHzqnjk=")</f>
        <v>#REF!</v>
      </c>
      <c r="BG26" t="e">
        <f>AND(#REF!,"AAAAAHzqnjo=")</f>
        <v>#REF!</v>
      </c>
      <c r="BH26" t="e">
        <f>AND(#REF!,"AAAAAHzqnjs=")</f>
        <v>#REF!</v>
      </c>
      <c r="BI26" t="e">
        <f>AND(#REF!,"AAAAAHzqnjw=")</f>
        <v>#REF!</v>
      </c>
      <c r="BJ26" t="e">
        <f>AND(#REF!,"AAAAAHzqnj0=")</f>
        <v>#REF!</v>
      </c>
      <c r="BK26" t="e">
        <f>AND(#REF!,"AAAAAHzqnj4=")</f>
        <v>#REF!</v>
      </c>
      <c r="BL26" t="e">
        <f>AND(#REF!,"AAAAAHzqnj8=")</f>
        <v>#REF!</v>
      </c>
      <c r="BM26" t="e">
        <f>AND(#REF!,"AAAAAHzqnkA=")</f>
        <v>#REF!</v>
      </c>
      <c r="BN26" t="e">
        <f>IF(#REF!,"AAAAAHzqnkE=",0)</f>
        <v>#REF!</v>
      </c>
      <c r="BO26" t="e">
        <f>AND(#REF!,"AAAAAHzqnkI=")</f>
        <v>#REF!</v>
      </c>
      <c r="BP26" t="e">
        <f>AND(#REF!,"AAAAAHzqnkM=")</f>
        <v>#REF!</v>
      </c>
      <c r="BQ26" t="e">
        <f>AND(#REF!,"AAAAAHzqnkQ=")</f>
        <v>#REF!</v>
      </c>
      <c r="BR26" t="e">
        <f>AND(#REF!,"AAAAAHzqnkU=")</f>
        <v>#REF!</v>
      </c>
      <c r="BS26" t="e">
        <f>AND(#REF!,"AAAAAHzqnkY=")</f>
        <v>#REF!</v>
      </c>
      <c r="BT26" t="e">
        <f>AND(#REF!,"AAAAAHzqnkc=")</f>
        <v>#REF!</v>
      </c>
      <c r="BU26" t="e">
        <f>AND(#REF!,"AAAAAHzqnkg=")</f>
        <v>#REF!</v>
      </c>
      <c r="BV26" t="e">
        <f>AND(#REF!,"AAAAAHzqnkk=")</f>
        <v>#REF!</v>
      </c>
      <c r="BW26" t="e">
        <f>AND(#REF!,"AAAAAHzqnko=")</f>
        <v>#REF!</v>
      </c>
      <c r="BX26" t="e">
        <f>AND(#REF!,"AAAAAHzqnks=")</f>
        <v>#REF!</v>
      </c>
      <c r="BY26" t="e">
        <f>AND(#REF!,"AAAAAHzqnkw=")</f>
        <v>#REF!</v>
      </c>
      <c r="BZ26" t="e">
        <f>AND(#REF!,"AAAAAHzqnk0=")</f>
        <v>#REF!</v>
      </c>
      <c r="CA26" t="e">
        <f>IF(#REF!,"AAAAAHzqnk4=",0)</f>
        <v>#REF!</v>
      </c>
      <c r="CB26" t="e">
        <f>AND(#REF!,"AAAAAHzqnk8=")</f>
        <v>#REF!</v>
      </c>
      <c r="CC26" t="e">
        <f>AND(#REF!,"AAAAAHzqnlA=")</f>
        <v>#REF!</v>
      </c>
      <c r="CD26" t="e">
        <f>AND(#REF!,"AAAAAHzqnlE=")</f>
        <v>#REF!</v>
      </c>
      <c r="CE26" t="e">
        <f>AND(#REF!,"AAAAAHzqnlI=")</f>
        <v>#REF!</v>
      </c>
      <c r="CF26" t="e">
        <f>AND(#REF!,"AAAAAHzqnlM=")</f>
        <v>#REF!</v>
      </c>
      <c r="CG26" t="e">
        <f>AND(#REF!,"AAAAAHzqnlQ=")</f>
        <v>#REF!</v>
      </c>
      <c r="CH26" t="e">
        <f>AND(#REF!,"AAAAAHzqnlU=")</f>
        <v>#REF!</v>
      </c>
      <c r="CI26" t="e">
        <f>AND(#REF!,"AAAAAHzqnlY=")</f>
        <v>#REF!</v>
      </c>
      <c r="CJ26" t="e">
        <f>AND(#REF!,"AAAAAHzqnlc=")</f>
        <v>#REF!</v>
      </c>
      <c r="CK26" t="e">
        <f>AND(#REF!,"AAAAAHzqnlg=")</f>
        <v>#REF!</v>
      </c>
      <c r="CL26" t="e">
        <f>AND(#REF!,"AAAAAHzqnlk=")</f>
        <v>#REF!</v>
      </c>
      <c r="CM26" t="e">
        <f>AND(#REF!,"AAAAAHzqnlo=")</f>
        <v>#REF!</v>
      </c>
      <c r="CN26" t="e">
        <f>IF(#REF!,"AAAAAHzqnls=",0)</f>
        <v>#REF!</v>
      </c>
      <c r="CO26" t="e">
        <f>AND(#REF!,"AAAAAHzqnlw=")</f>
        <v>#REF!</v>
      </c>
      <c r="CP26" t="e">
        <f>AND(#REF!,"AAAAAHzqnl0=")</f>
        <v>#REF!</v>
      </c>
      <c r="CQ26" t="e">
        <f>AND(#REF!,"AAAAAHzqnl4=")</f>
        <v>#REF!</v>
      </c>
      <c r="CR26" t="e">
        <f>AND(#REF!,"AAAAAHzqnl8=")</f>
        <v>#REF!</v>
      </c>
      <c r="CS26" t="e">
        <f>AND(#REF!,"AAAAAHzqnmA=")</f>
        <v>#REF!</v>
      </c>
      <c r="CT26" t="e">
        <f>AND(#REF!,"AAAAAHzqnmE=")</f>
        <v>#REF!</v>
      </c>
      <c r="CU26" t="e">
        <f>AND(#REF!,"AAAAAHzqnmI=")</f>
        <v>#REF!</v>
      </c>
      <c r="CV26" t="e">
        <f>AND(#REF!,"AAAAAHzqnmM=")</f>
        <v>#REF!</v>
      </c>
      <c r="CW26" t="e">
        <f>AND(#REF!,"AAAAAHzqnmQ=")</f>
        <v>#REF!</v>
      </c>
      <c r="CX26" t="e">
        <f>AND(#REF!,"AAAAAHzqnmU=")</f>
        <v>#REF!</v>
      </c>
      <c r="CY26" t="e">
        <f>AND(#REF!,"AAAAAHzqnmY=")</f>
        <v>#REF!</v>
      </c>
      <c r="CZ26" t="e">
        <f>AND(#REF!,"AAAAAHzqnmc=")</f>
        <v>#REF!</v>
      </c>
      <c r="DA26" t="e">
        <f>IF(#REF!,"AAAAAHzqnmg=",0)</f>
        <v>#REF!</v>
      </c>
      <c r="DB26" t="e">
        <f>AND(#REF!,"AAAAAHzqnmk=")</f>
        <v>#REF!</v>
      </c>
      <c r="DC26" t="e">
        <f>AND(#REF!,"AAAAAHzqnmo=")</f>
        <v>#REF!</v>
      </c>
      <c r="DD26" t="e">
        <f>AND(#REF!,"AAAAAHzqnms=")</f>
        <v>#REF!</v>
      </c>
      <c r="DE26" t="e">
        <f>AND(#REF!,"AAAAAHzqnmw=")</f>
        <v>#REF!</v>
      </c>
      <c r="DF26" t="e">
        <f>AND(#REF!,"AAAAAHzqnm0=")</f>
        <v>#REF!</v>
      </c>
      <c r="DG26" t="e">
        <f>AND(#REF!,"AAAAAHzqnm4=")</f>
        <v>#REF!</v>
      </c>
      <c r="DH26" t="e">
        <f>AND(#REF!,"AAAAAHzqnm8=")</f>
        <v>#REF!</v>
      </c>
      <c r="DI26" t="e">
        <f>AND(#REF!,"AAAAAHzqnnA=")</f>
        <v>#REF!</v>
      </c>
      <c r="DJ26" t="e">
        <f>AND(#REF!,"AAAAAHzqnnE=")</f>
        <v>#REF!</v>
      </c>
      <c r="DK26" t="e">
        <f>AND(#REF!,"AAAAAHzqnnI=")</f>
        <v>#REF!</v>
      </c>
      <c r="DL26" t="e">
        <f>AND(#REF!,"AAAAAHzqnnM=")</f>
        <v>#REF!</v>
      </c>
      <c r="DM26" t="e">
        <f>AND(#REF!,"AAAAAHzqnnQ=")</f>
        <v>#REF!</v>
      </c>
      <c r="DN26" t="e">
        <f>IF(#REF!,"AAAAAHzqnnU=",0)</f>
        <v>#REF!</v>
      </c>
      <c r="DO26" t="e">
        <f>AND(#REF!,"AAAAAHzqnnY=")</f>
        <v>#REF!</v>
      </c>
      <c r="DP26" t="e">
        <f>AND(#REF!,"AAAAAHzqnnc=")</f>
        <v>#REF!</v>
      </c>
      <c r="DQ26" t="e">
        <f>AND(#REF!,"AAAAAHzqnng=")</f>
        <v>#REF!</v>
      </c>
      <c r="DR26" t="e">
        <f>AND(#REF!,"AAAAAHzqnnk=")</f>
        <v>#REF!</v>
      </c>
      <c r="DS26" t="e">
        <f>AND(#REF!,"AAAAAHzqnno=")</f>
        <v>#REF!</v>
      </c>
      <c r="DT26" t="e">
        <f>AND(#REF!,"AAAAAHzqnns=")</f>
        <v>#REF!</v>
      </c>
      <c r="DU26" t="e">
        <f>AND(#REF!,"AAAAAHzqnnw=")</f>
        <v>#REF!</v>
      </c>
      <c r="DV26" t="e">
        <f>AND(#REF!,"AAAAAHzqnn0=")</f>
        <v>#REF!</v>
      </c>
      <c r="DW26" t="e">
        <f>AND(#REF!,"AAAAAHzqnn4=")</f>
        <v>#REF!</v>
      </c>
      <c r="DX26" t="e">
        <f>AND(#REF!,"AAAAAHzqnn8=")</f>
        <v>#REF!</v>
      </c>
      <c r="DY26" t="e">
        <f>AND(#REF!,"AAAAAHzqnoA=")</f>
        <v>#REF!</v>
      </c>
      <c r="DZ26" t="e">
        <f>AND(#REF!,"AAAAAHzqnoE=")</f>
        <v>#REF!</v>
      </c>
      <c r="EA26" t="e">
        <f>IF(#REF!,"AAAAAHzqnoI=",0)</f>
        <v>#REF!</v>
      </c>
      <c r="EB26" t="e">
        <f>AND(#REF!,"AAAAAHzqnoM=")</f>
        <v>#REF!</v>
      </c>
      <c r="EC26" t="e">
        <f>AND(#REF!,"AAAAAHzqnoQ=")</f>
        <v>#REF!</v>
      </c>
      <c r="ED26" t="e">
        <f>AND(#REF!,"AAAAAHzqnoU=")</f>
        <v>#REF!</v>
      </c>
      <c r="EE26" t="e">
        <f>AND(#REF!,"AAAAAHzqnoY=")</f>
        <v>#REF!</v>
      </c>
      <c r="EF26" t="e">
        <f>AND(#REF!,"AAAAAHzqnoc=")</f>
        <v>#REF!</v>
      </c>
      <c r="EG26" t="e">
        <f>AND(#REF!,"AAAAAHzqnog=")</f>
        <v>#REF!</v>
      </c>
      <c r="EH26" t="e">
        <f>AND(#REF!,"AAAAAHzqnok=")</f>
        <v>#REF!</v>
      </c>
      <c r="EI26" t="e">
        <f>AND(#REF!,"AAAAAHzqnoo=")</f>
        <v>#REF!</v>
      </c>
      <c r="EJ26" t="e">
        <f>AND(#REF!,"AAAAAHzqnos=")</f>
        <v>#REF!</v>
      </c>
      <c r="EK26" t="e">
        <f>AND(#REF!,"AAAAAHzqnow=")</f>
        <v>#REF!</v>
      </c>
      <c r="EL26" t="e">
        <f>AND(#REF!,"AAAAAHzqno0=")</f>
        <v>#REF!</v>
      </c>
      <c r="EM26" t="e">
        <f>AND(#REF!,"AAAAAHzqno4=")</f>
        <v>#REF!</v>
      </c>
      <c r="EN26" t="e">
        <f>IF(#REF!,"AAAAAHzqno8=",0)</f>
        <v>#REF!</v>
      </c>
      <c r="EO26" t="e">
        <f>AND(#REF!,"AAAAAHzqnpA=")</f>
        <v>#REF!</v>
      </c>
      <c r="EP26" t="e">
        <f>AND(#REF!,"AAAAAHzqnpE=")</f>
        <v>#REF!</v>
      </c>
      <c r="EQ26" t="e">
        <f>AND(#REF!,"AAAAAHzqnpI=")</f>
        <v>#REF!</v>
      </c>
      <c r="ER26" t="e">
        <f>AND(#REF!,"AAAAAHzqnpM=")</f>
        <v>#REF!</v>
      </c>
      <c r="ES26" t="e">
        <f>AND(#REF!,"AAAAAHzqnpQ=")</f>
        <v>#REF!</v>
      </c>
      <c r="ET26" t="e">
        <f>AND(#REF!,"AAAAAHzqnpU=")</f>
        <v>#REF!</v>
      </c>
      <c r="EU26" t="e">
        <f>AND(#REF!,"AAAAAHzqnpY=")</f>
        <v>#REF!</v>
      </c>
      <c r="EV26" t="e">
        <f>AND(#REF!,"AAAAAHzqnpc=")</f>
        <v>#REF!</v>
      </c>
      <c r="EW26" t="e">
        <f>AND(#REF!,"AAAAAHzqnpg=")</f>
        <v>#REF!</v>
      </c>
      <c r="EX26" t="e">
        <f>AND(#REF!,"AAAAAHzqnpk=")</f>
        <v>#REF!</v>
      </c>
      <c r="EY26" t="e">
        <f>AND(#REF!,"AAAAAHzqnpo=")</f>
        <v>#REF!</v>
      </c>
      <c r="EZ26" t="e">
        <f>AND(#REF!,"AAAAAHzqnps=")</f>
        <v>#REF!</v>
      </c>
      <c r="FA26" t="e">
        <f>IF(#REF!,"AAAAAHzqnpw=",0)</f>
        <v>#REF!</v>
      </c>
      <c r="FB26" t="e">
        <f>AND(#REF!,"AAAAAHzqnp0=")</f>
        <v>#REF!</v>
      </c>
      <c r="FC26" t="e">
        <f>AND(#REF!,"AAAAAHzqnp4=")</f>
        <v>#REF!</v>
      </c>
      <c r="FD26" t="e">
        <f>AND(#REF!,"AAAAAHzqnp8=")</f>
        <v>#REF!</v>
      </c>
      <c r="FE26" t="e">
        <f>AND(#REF!,"AAAAAHzqnqA=")</f>
        <v>#REF!</v>
      </c>
      <c r="FF26" t="e">
        <f>AND(#REF!,"AAAAAHzqnqE=")</f>
        <v>#REF!</v>
      </c>
      <c r="FG26" t="e">
        <f>AND(#REF!,"AAAAAHzqnqI=")</f>
        <v>#REF!</v>
      </c>
      <c r="FH26" t="e">
        <f>AND(#REF!,"AAAAAHzqnqM=")</f>
        <v>#REF!</v>
      </c>
      <c r="FI26" t="e">
        <f>AND(#REF!,"AAAAAHzqnqQ=")</f>
        <v>#REF!</v>
      </c>
      <c r="FJ26" t="e">
        <f>AND(#REF!,"AAAAAHzqnqU=")</f>
        <v>#REF!</v>
      </c>
      <c r="FK26" t="e">
        <f>AND(#REF!,"AAAAAHzqnqY=")</f>
        <v>#REF!</v>
      </c>
      <c r="FL26" t="e">
        <f>AND(#REF!,"AAAAAHzqnqc=")</f>
        <v>#REF!</v>
      </c>
      <c r="FM26" t="e">
        <f>AND(#REF!,"AAAAAHzqnqg=")</f>
        <v>#REF!</v>
      </c>
      <c r="FN26" t="e">
        <f>IF(#REF!,"AAAAAHzqnqk=",0)</f>
        <v>#REF!</v>
      </c>
      <c r="FO26" t="e">
        <f>AND(#REF!,"AAAAAHzqnqo=")</f>
        <v>#REF!</v>
      </c>
      <c r="FP26" t="e">
        <f>AND(#REF!,"AAAAAHzqnqs=")</f>
        <v>#REF!</v>
      </c>
      <c r="FQ26" t="e">
        <f>AND(#REF!,"AAAAAHzqnqw=")</f>
        <v>#REF!</v>
      </c>
      <c r="FR26" t="e">
        <f>AND(#REF!,"AAAAAHzqnq0=")</f>
        <v>#REF!</v>
      </c>
      <c r="FS26" t="e">
        <f>AND(#REF!,"AAAAAHzqnq4=")</f>
        <v>#REF!</v>
      </c>
      <c r="FT26" t="e">
        <f>AND(#REF!,"AAAAAHzqnq8=")</f>
        <v>#REF!</v>
      </c>
      <c r="FU26" t="e">
        <f>AND(#REF!,"AAAAAHzqnrA=")</f>
        <v>#REF!</v>
      </c>
      <c r="FV26" t="e">
        <f>AND(#REF!,"AAAAAHzqnrE=")</f>
        <v>#REF!</v>
      </c>
      <c r="FW26" t="e">
        <f>AND(#REF!,"AAAAAHzqnrI=")</f>
        <v>#REF!</v>
      </c>
      <c r="FX26" t="e">
        <f>AND(#REF!,"AAAAAHzqnrM=")</f>
        <v>#REF!</v>
      </c>
      <c r="FY26" t="e">
        <f>AND(#REF!,"AAAAAHzqnrQ=")</f>
        <v>#REF!</v>
      </c>
      <c r="FZ26" t="e">
        <f>AND(#REF!,"AAAAAHzqnrU=")</f>
        <v>#REF!</v>
      </c>
      <c r="GA26" t="e">
        <f>IF(#REF!,"AAAAAHzqnrY=",0)</f>
        <v>#REF!</v>
      </c>
      <c r="GB26" t="e">
        <f>AND(#REF!,"AAAAAHzqnrc=")</f>
        <v>#REF!</v>
      </c>
      <c r="GC26" t="e">
        <f>AND(#REF!,"AAAAAHzqnrg=")</f>
        <v>#REF!</v>
      </c>
      <c r="GD26" t="e">
        <f>AND(#REF!,"AAAAAHzqnrk=")</f>
        <v>#REF!</v>
      </c>
      <c r="GE26" t="e">
        <f>AND(#REF!,"AAAAAHzqnro=")</f>
        <v>#REF!</v>
      </c>
      <c r="GF26" t="e">
        <f>AND(#REF!,"AAAAAHzqnrs=")</f>
        <v>#REF!</v>
      </c>
      <c r="GG26" t="e">
        <f>AND(#REF!,"AAAAAHzqnrw=")</f>
        <v>#REF!</v>
      </c>
      <c r="GH26" t="e">
        <f>AND(#REF!,"AAAAAHzqnr0=")</f>
        <v>#REF!</v>
      </c>
      <c r="GI26" t="e">
        <f>AND(#REF!,"AAAAAHzqnr4=")</f>
        <v>#REF!</v>
      </c>
      <c r="GJ26" t="e">
        <f>AND(#REF!,"AAAAAHzqnr8=")</f>
        <v>#REF!</v>
      </c>
      <c r="GK26" t="e">
        <f>AND(#REF!,"AAAAAHzqnsA=")</f>
        <v>#REF!</v>
      </c>
      <c r="GL26" t="e">
        <f>AND(#REF!,"AAAAAHzqnsE=")</f>
        <v>#REF!</v>
      </c>
      <c r="GM26" t="e">
        <f>AND(#REF!,"AAAAAHzqnsI=")</f>
        <v>#REF!</v>
      </c>
      <c r="GN26" t="e">
        <f>IF(#REF!,"AAAAAHzqnsM=",0)</f>
        <v>#REF!</v>
      </c>
      <c r="GO26" t="e">
        <f>AND(#REF!,"AAAAAHzqnsQ=")</f>
        <v>#REF!</v>
      </c>
      <c r="GP26" t="e">
        <f>AND(#REF!,"AAAAAHzqnsU=")</f>
        <v>#REF!</v>
      </c>
      <c r="GQ26" t="e">
        <f>AND(#REF!,"AAAAAHzqnsY=")</f>
        <v>#REF!</v>
      </c>
      <c r="GR26" t="e">
        <f>AND(#REF!,"AAAAAHzqnsc=")</f>
        <v>#REF!</v>
      </c>
      <c r="GS26" t="e">
        <f>AND(#REF!,"AAAAAHzqnsg=")</f>
        <v>#REF!</v>
      </c>
      <c r="GT26" t="e">
        <f>AND(#REF!,"AAAAAHzqnsk=")</f>
        <v>#REF!</v>
      </c>
      <c r="GU26" t="e">
        <f>AND(#REF!,"AAAAAHzqnso=")</f>
        <v>#REF!</v>
      </c>
      <c r="GV26" t="e">
        <f>AND(#REF!,"AAAAAHzqnss=")</f>
        <v>#REF!</v>
      </c>
      <c r="GW26" t="e">
        <f>AND(#REF!,"AAAAAHzqnsw=")</f>
        <v>#REF!</v>
      </c>
      <c r="GX26" t="e">
        <f>AND(#REF!,"AAAAAHzqns0=")</f>
        <v>#REF!</v>
      </c>
      <c r="GY26" t="e">
        <f>AND(#REF!,"AAAAAHzqns4=")</f>
        <v>#REF!</v>
      </c>
      <c r="GZ26" t="e">
        <f>AND(#REF!,"AAAAAHzqns8=")</f>
        <v>#REF!</v>
      </c>
      <c r="HA26" t="e">
        <f>IF(#REF!,"AAAAAHzqntA=",0)</f>
        <v>#REF!</v>
      </c>
      <c r="HB26" t="e">
        <f>AND(#REF!,"AAAAAHzqntE=")</f>
        <v>#REF!</v>
      </c>
      <c r="HC26" t="e">
        <f>AND(#REF!,"AAAAAHzqntI=")</f>
        <v>#REF!</v>
      </c>
      <c r="HD26" t="e">
        <f>AND(#REF!,"AAAAAHzqntM=")</f>
        <v>#REF!</v>
      </c>
      <c r="HE26" t="e">
        <f>AND(#REF!,"AAAAAHzqntQ=")</f>
        <v>#REF!</v>
      </c>
      <c r="HF26" t="e">
        <f>AND(#REF!,"AAAAAHzqntU=")</f>
        <v>#REF!</v>
      </c>
      <c r="HG26" t="e">
        <f>AND(#REF!,"AAAAAHzqntY=")</f>
        <v>#REF!</v>
      </c>
      <c r="HH26" t="e">
        <f>AND(#REF!,"AAAAAHzqntc=")</f>
        <v>#REF!</v>
      </c>
      <c r="HI26" t="e">
        <f>AND(#REF!,"AAAAAHzqntg=")</f>
        <v>#REF!</v>
      </c>
      <c r="HJ26" t="e">
        <f>AND(#REF!,"AAAAAHzqntk=")</f>
        <v>#REF!</v>
      </c>
      <c r="HK26" t="e">
        <f>AND(#REF!,"AAAAAHzqnto=")</f>
        <v>#REF!</v>
      </c>
      <c r="HL26" t="e">
        <f>AND(#REF!,"AAAAAHzqnts=")</f>
        <v>#REF!</v>
      </c>
      <c r="HM26" t="e">
        <f>AND(#REF!,"AAAAAHzqntw=")</f>
        <v>#REF!</v>
      </c>
      <c r="HN26" t="e">
        <f>IF(#REF!,"AAAAAHzqnt0=",0)</f>
        <v>#REF!</v>
      </c>
      <c r="HO26" t="e">
        <f>AND(#REF!,"AAAAAHzqnt4=")</f>
        <v>#REF!</v>
      </c>
      <c r="HP26" t="e">
        <f>AND(#REF!,"AAAAAHzqnt8=")</f>
        <v>#REF!</v>
      </c>
      <c r="HQ26" t="e">
        <f>AND(#REF!,"AAAAAHzqnuA=")</f>
        <v>#REF!</v>
      </c>
      <c r="HR26" t="e">
        <f>AND(#REF!,"AAAAAHzqnuE=")</f>
        <v>#REF!</v>
      </c>
      <c r="HS26" t="e">
        <f>AND(#REF!,"AAAAAHzqnuI=")</f>
        <v>#REF!</v>
      </c>
      <c r="HT26" t="e">
        <f>AND(#REF!,"AAAAAHzqnuM=")</f>
        <v>#REF!</v>
      </c>
      <c r="HU26" t="e">
        <f>AND(#REF!,"AAAAAHzqnuQ=")</f>
        <v>#REF!</v>
      </c>
      <c r="HV26" t="e">
        <f>AND(#REF!,"AAAAAHzqnuU=")</f>
        <v>#REF!</v>
      </c>
      <c r="HW26" t="e">
        <f>AND(#REF!,"AAAAAHzqnuY=")</f>
        <v>#REF!</v>
      </c>
      <c r="HX26" t="e">
        <f>AND(#REF!,"AAAAAHzqnuc=")</f>
        <v>#REF!</v>
      </c>
      <c r="HY26" t="e">
        <f>AND(#REF!,"AAAAAHzqnug=")</f>
        <v>#REF!</v>
      </c>
      <c r="HZ26" t="e">
        <f>AND(#REF!,"AAAAAHzqnuk=")</f>
        <v>#REF!</v>
      </c>
      <c r="IA26" t="e">
        <f>IF(#REF!,"AAAAAHzqnuo=",0)</f>
        <v>#REF!</v>
      </c>
      <c r="IB26" t="e">
        <f>AND(#REF!,"AAAAAHzqnus=")</f>
        <v>#REF!</v>
      </c>
      <c r="IC26" t="e">
        <f>AND(#REF!,"AAAAAHzqnuw=")</f>
        <v>#REF!</v>
      </c>
      <c r="ID26" t="e">
        <f>AND(#REF!,"AAAAAHzqnu0=")</f>
        <v>#REF!</v>
      </c>
      <c r="IE26" t="e">
        <f>AND(#REF!,"AAAAAHzqnu4=")</f>
        <v>#REF!</v>
      </c>
      <c r="IF26" t="e">
        <f>AND(#REF!,"AAAAAHzqnu8=")</f>
        <v>#REF!</v>
      </c>
      <c r="IG26" t="e">
        <f>AND(#REF!,"AAAAAHzqnvA=")</f>
        <v>#REF!</v>
      </c>
      <c r="IH26" t="e">
        <f>AND(#REF!,"AAAAAHzqnvE=")</f>
        <v>#REF!</v>
      </c>
      <c r="II26" t="e">
        <f>AND(#REF!,"AAAAAHzqnvI=")</f>
        <v>#REF!</v>
      </c>
      <c r="IJ26" t="e">
        <f>AND(#REF!,"AAAAAHzqnvM=")</f>
        <v>#REF!</v>
      </c>
      <c r="IK26" t="e">
        <f>AND(#REF!,"AAAAAHzqnvQ=")</f>
        <v>#REF!</v>
      </c>
      <c r="IL26" t="e">
        <f>AND(#REF!,"AAAAAHzqnvU=")</f>
        <v>#REF!</v>
      </c>
      <c r="IM26" t="e">
        <f>AND(#REF!,"AAAAAHzqnvY=")</f>
        <v>#REF!</v>
      </c>
      <c r="IN26" t="e">
        <f>IF(#REF!,"AAAAAHzqnvc=",0)</f>
        <v>#REF!</v>
      </c>
      <c r="IO26" t="e">
        <f>AND(#REF!,"AAAAAHzqnvg=")</f>
        <v>#REF!</v>
      </c>
      <c r="IP26" t="e">
        <f>AND(#REF!,"AAAAAHzqnvk=")</f>
        <v>#REF!</v>
      </c>
      <c r="IQ26" t="e">
        <f>AND(#REF!,"AAAAAHzqnvo=")</f>
        <v>#REF!</v>
      </c>
      <c r="IR26" t="e">
        <f>AND(#REF!,"AAAAAHzqnvs=")</f>
        <v>#REF!</v>
      </c>
      <c r="IS26" t="e">
        <f>AND(#REF!,"AAAAAHzqnvw=")</f>
        <v>#REF!</v>
      </c>
      <c r="IT26" t="e">
        <f>AND(#REF!,"AAAAAHzqnv0=")</f>
        <v>#REF!</v>
      </c>
      <c r="IU26" t="e">
        <f>AND(#REF!,"AAAAAHzqnv4=")</f>
        <v>#REF!</v>
      </c>
      <c r="IV26" t="e">
        <f>AND(#REF!,"AAAAAHzqnv8=")</f>
        <v>#REF!</v>
      </c>
    </row>
    <row r="27" spans="1:256">
      <c r="A27" t="e">
        <f>AND(#REF!,"AAAAAE447wA=")</f>
        <v>#REF!</v>
      </c>
      <c r="B27" t="e">
        <f>AND(#REF!,"AAAAAE447wE=")</f>
        <v>#REF!</v>
      </c>
      <c r="C27" t="e">
        <f>AND(#REF!,"AAAAAE447wI=")</f>
        <v>#REF!</v>
      </c>
      <c r="D27" t="e">
        <f>AND(#REF!,"AAAAAE447wM=")</f>
        <v>#REF!</v>
      </c>
      <c r="E27" t="e">
        <f>IF(#REF!,"AAAAAE447wQ=",0)</f>
        <v>#REF!</v>
      </c>
      <c r="F27" t="e">
        <f>AND(#REF!,"AAAAAE447wU=")</f>
        <v>#REF!</v>
      </c>
      <c r="G27" t="e">
        <f>AND(#REF!,"AAAAAE447wY=")</f>
        <v>#REF!</v>
      </c>
      <c r="H27" t="e">
        <f>AND(#REF!,"AAAAAE447wc=")</f>
        <v>#REF!</v>
      </c>
      <c r="I27" t="e">
        <f>AND(#REF!,"AAAAAE447wg=")</f>
        <v>#REF!</v>
      </c>
      <c r="J27" t="e">
        <f>AND(#REF!,"AAAAAE447wk=")</f>
        <v>#REF!</v>
      </c>
      <c r="K27" t="e">
        <f>AND(#REF!,"AAAAAE447wo=")</f>
        <v>#REF!</v>
      </c>
      <c r="L27" t="e">
        <f>AND(#REF!,"AAAAAE447ws=")</f>
        <v>#REF!</v>
      </c>
      <c r="M27" t="e">
        <f>AND(#REF!,"AAAAAE447ww=")</f>
        <v>#REF!</v>
      </c>
      <c r="N27" t="e">
        <f>AND(#REF!,"AAAAAE447w0=")</f>
        <v>#REF!</v>
      </c>
      <c r="O27" t="e">
        <f>AND(#REF!,"AAAAAE447w4=")</f>
        <v>#REF!</v>
      </c>
      <c r="P27" t="e">
        <f>AND(#REF!,"AAAAAE447w8=")</f>
        <v>#REF!</v>
      </c>
      <c r="Q27" t="e">
        <f>AND(#REF!,"AAAAAE447xA=")</f>
        <v>#REF!</v>
      </c>
      <c r="R27" t="e">
        <f>IF(#REF!,"AAAAAE447xE=",0)</f>
        <v>#REF!</v>
      </c>
      <c r="S27" t="e">
        <f>AND(#REF!,"AAAAAE447xI=")</f>
        <v>#REF!</v>
      </c>
      <c r="T27" t="e">
        <f>AND(#REF!,"AAAAAE447xM=")</f>
        <v>#REF!</v>
      </c>
      <c r="U27" t="e">
        <f>AND(#REF!,"AAAAAE447xQ=")</f>
        <v>#REF!</v>
      </c>
      <c r="V27" t="e">
        <f>AND(#REF!,"AAAAAE447xU=")</f>
        <v>#REF!</v>
      </c>
      <c r="W27" t="e">
        <f>AND(#REF!,"AAAAAE447xY=")</f>
        <v>#REF!</v>
      </c>
      <c r="X27" t="e">
        <f>AND(#REF!,"AAAAAE447xc=")</f>
        <v>#REF!</v>
      </c>
      <c r="Y27" t="e">
        <f>AND(#REF!,"AAAAAE447xg=")</f>
        <v>#REF!</v>
      </c>
      <c r="Z27" t="e">
        <f>AND(#REF!,"AAAAAE447xk=")</f>
        <v>#REF!</v>
      </c>
      <c r="AA27" t="e">
        <f>AND(#REF!,"AAAAAE447xo=")</f>
        <v>#REF!</v>
      </c>
      <c r="AB27" t="e">
        <f>AND(#REF!,"AAAAAE447xs=")</f>
        <v>#REF!</v>
      </c>
      <c r="AC27" t="e">
        <f>AND(#REF!,"AAAAAE447xw=")</f>
        <v>#REF!</v>
      </c>
      <c r="AD27" t="e">
        <f>AND(#REF!,"AAAAAE447x0=")</f>
        <v>#REF!</v>
      </c>
      <c r="AE27" t="e">
        <f>IF(#REF!,"AAAAAE447x4=",0)</f>
        <v>#REF!</v>
      </c>
      <c r="AF27" t="e">
        <f>AND(#REF!,"AAAAAE447x8=")</f>
        <v>#REF!</v>
      </c>
      <c r="AG27" t="e">
        <f>AND(#REF!,"AAAAAE447yA=")</f>
        <v>#REF!</v>
      </c>
      <c r="AH27" t="e">
        <f>AND(#REF!,"AAAAAE447yE=")</f>
        <v>#REF!</v>
      </c>
      <c r="AI27" t="e">
        <f>AND(#REF!,"AAAAAE447yI=")</f>
        <v>#REF!</v>
      </c>
      <c r="AJ27" t="e">
        <f>AND(#REF!,"AAAAAE447yM=")</f>
        <v>#REF!</v>
      </c>
      <c r="AK27" t="e">
        <f>AND(#REF!,"AAAAAE447yQ=")</f>
        <v>#REF!</v>
      </c>
      <c r="AL27" t="e">
        <f>AND(#REF!,"AAAAAE447yU=")</f>
        <v>#REF!</v>
      </c>
      <c r="AM27" t="e">
        <f>AND(#REF!,"AAAAAE447yY=")</f>
        <v>#REF!</v>
      </c>
      <c r="AN27" t="e">
        <f>AND(#REF!,"AAAAAE447yc=")</f>
        <v>#REF!</v>
      </c>
      <c r="AO27" t="e">
        <f>AND(#REF!,"AAAAAE447yg=")</f>
        <v>#REF!</v>
      </c>
      <c r="AP27" t="e">
        <f>AND(#REF!,"AAAAAE447yk=")</f>
        <v>#REF!</v>
      </c>
      <c r="AQ27" t="e">
        <f>AND(#REF!,"AAAAAE447yo=")</f>
        <v>#REF!</v>
      </c>
      <c r="AR27" t="e">
        <f>IF(#REF!,"AAAAAE447ys=",0)</f>
        <v>#REF!</v>
      </c>
      <c r="AS27" t="e">
        <f>AND(#REF!,"AAAAAE447yw=")</f>
        <v>#REF!</v>
      </c>
      <c r="AT27" t="e">
        <f>AND(#REF!,"AAAAAE447y0=")</f>
        <v>#REF!</v>
      </c>
      <c r="AU27" t="e">
        <f>AND(#REF!,"AAAAAE447y4=")</f>
        <v>#REF!</v>
      </c>
      <c r="AV27" t="e">
        <f>AND(#REF!,"AAAAAE447y8=")</f>
        <v>#REF!</v>
      </c>
      <c r="AW27" t="e">
        <f>AND(#REF!,"AAAAAE447zA=")</f>
        <v>#REF!</v>
      </c>
      <c r="AX27" t="e">
        <f>AND(#REF!,"AAAAAE447zE=")</f>
        <v>#REF!</v>
      </c>
      <c r="AY27" t="e">
        <f>AND(#REF!,"AAAAAE447zI=")</f>
        <v>#REF!</v>
      </c>
      <c r="AZ27" t="e">
        <f>AND(#REF!,"AAAAAE447zM=")</f>
        <v>#REF!</v>
      </c>
      <c r="BA27" t="e">
        <f>AND(#REF!,"AAAAAE447zQ=")</f>
        <v>#REF!</v>
      </c>
      <c r="BB27" t="e">
        <f>AND(#REF!,"AAAAAE447zU=")</f>
        <v>#REF!</v>
      </c>
      <c r="BC27" t="e">
        <f>AND(#REF!,"AAAAAE447zY=")</f>
        <v>#REF!</v>
      </c>
      <c r="BD27" t="e">
        <f>AND(#REF!,"AAAAAE447zc=")</f>
        <v>#REF!</v>
      </c>
      <c r="BE27" t="e">
        <f>IF(#REF!,"AAAAAE447zg=",0)</f>
        <v>#REF!</v>
      </c>
      <c r="BF27" t="e">
        <f>AND(#REF!,"AAAAAE447zk=")</f>
        <v>#REF!</v>
      </c>
      <c r="BG27" t="e">
        <f>AND(#REF!,"AAAAAE447zo=")</f>
        <v>#REF!</v>
      </c>
      <c r="BH27" t="e">
        <f>AND(#REF!,"AAAAAE447zs=")</f>
        <v>#REF!</v>
      </c>
      <c r="BI27" t="e">
        <f>AND(#REF!,"AAAAAE447zw=")</f>
        <v>#REF!</v>
      </c>
      <c r="BJ27" t="e">
        <f>AND(#REF!,"AAAAAE447z0=")</f>
        <v>#REF!</v>
      </c>
      <c r="BK27" t="e">
        <f>AND(#REF!,"AAAAAE447z4=")</f>
        <v>#REF!</v>
      </c>
      <c r="BL27" t="e">
        <f>AND(#REF!,"AAAAAE447z8=")</f>
        <v>#REF!</v>
      </c>
      <c r="BM27" t="e">
        <f>AND(#REF!,"AAAAAE4470A=")</f>
        <v>#REF!</v>
      </c>
      <c r="BN27" t="e">
        <f>AND(#REF!,"AAAAAE4470E=")</f>
        <v>#REF!</v>
      </c>
      <c r="BO27" t="e">
        <f>AND(#REF!,"AAAAAE4470I=")</f>
        <v>#REF!</v>
      </c>
      <c r="BP27" t="e">
        <f>AND(#REF!,"AAAAAE4470M=")</f>
        <v>#REF!</v>
      </c>
      <c r="BQ27" t="e">
        <f>AND(#REF!,"AAAAAE4470Q=")</f>
        <v>#REF!</v>
      </c>
      <c r="BR27" t="e">
        <f>IF(#REF!,"AAAAAE4470U=",0)</f>
        <v>#REF!</v>
      </c>
      <c r="BS27" t="e">
        <f>AND(#REF!,"AAAAAE4470Y=")</f>
        <v>#REF!</v>
      </c>
      <c r="BT27" t="e">
        <f>AND(#REF!,"AAAAAE4470c=")</f>
        <v>#REF!</v>
      </c>
      <c r="BU27" t="e">
        <f>AND(#REF!,"AAAAAE4470g=")</f>
        <v>#REF!</v>
      </c>
      <c r="BV27" t="e">
        <f>AND(#REF!,"AAAAAE4470k=")</f>
        <v>#REF!</v>
      </c>
      <c r="BW27" t="e">
        <f>AND(#REF!,"AAAAAE4470o=")</f>
        <v>#REF!</v>
      </c>
      <c r="BX27" t="e">
        <f>AND(#REF!,"AAAAAE4470s=")</f>
        <v>#REF!</v>
      </c>
      <c r="BY27" t="e">
        <f>AND(#REF!,"AAAAAE4470w=")</f>
        <v>#REF!</v>
      </c>
      <c r="BZ27" t="e">
        <f>AND(#REF!,"AAAAAE44700=")</f>
        <v>#REF!</v>
      </c>
      <c r="CA27" t="e">
        <f>AND(#REF!,"AAAAAE44704=")</f>
        <v>#REF!</v>
      </c>
      <c r="CB27" t="e">
        <f>AND(#REF!,"AAAAAE44708=")</f>
        <v>#REF!</v>
      </c>
      <c r="CC27" t="e">
        <f>AND(#REF!,"AAAAAE4471A=")</f>
        <v>#REF!</v>
      </c>
      <c r="CD27" t="e">
        <f>AND(#REF!,"AAAAAE4471E=")</f>
        <v>#REF!</v>
      </c>
      <c r="CE27" t="e">
        <f>IF(#REF!,"AAAAAE4471I=",0)</f>
        <v>#REF!</v>
      </c>
      <c r="CF27" t="e">
        <f>AND(#REF!,"AAAAAE4471M=")</f>
        <v>#REF!</v>
      </c>
      <c r="CG27" t="e">
        <f>AND(#REF!,"AAAAAE4471Q=")</f>
        <v>#REF!</v>
      </c>
      <c r="CH27" t="e">
        <f>AND(#REF!,"AAAAAE4471U=")</f>
        <v>#REF!</v>
      </c>
      <c r="CI27" t="e">
        <f>AND(#REF!,"AAAAAE4471Y=")</f>
        <v>#REF!</v>
      </c>
      <c r="CJ27" t="e">
        <f>AND(#REF!,"AAAAAE4471c=")</f>
        <v>#REF!</v>
      </c>
      <c r="CK27" t="e">
        <f>AND(#REF!,"AAAAAE4471g=")</f>
        <v>#REF!</v>
      </c>
      <c r="CL27" t="e">
        <f>AND(#REF!,"AAAAAE4471k=")</f>
        <v>#REF!</v>
      </c>
      <c r="CM27" t="e">
        <f>AND(#REF!,"AAAAAE4471o=")</f>
        <v>#REF!</v>
      </c>
      <c r="CN27" t="e">
        <f>AND(#REF!,"AAAAAE4471s=")</f>
        <v>#REF!</v>
      </c>
      <c r="CO27" t="e">
        <f>AND(#REF!,"AAAAAE4471w=")</f>
        <v>#REF!</v>
      </c>
      <c r="CP27" t="e">
        <f>AND(#REF!,"AAAAAE44710=")</f>
        <v>#REF!</v>
      </c>
      <c r="CQ27" t="e">
        <f>AND(#REF!,"AAAAAE44714=")</f>
        <v>#REF!</v>
      </c>
      <c r="CR27" t="e">
        <f>IF(#REF!,"AAAAAE44718=",0)</f>
        <v>#REF!</v>
      </c>
      <c r="CS27" t="e">
        <f>AND(#REF!,"AAAAAE4472A=")</f>
        <v>#REF!</v>
      </c>
      <c r="CT27" t="e">
        <f>AND(#REF!,"AAAAAE4472E=")</f>
        <v>#REF!</v>
      </c>
      <c r="CU27" t="e">
        <f>AND(#REF!,"AAAAAE4472I=")</f>
        <v>#REF!</v>
      </c>
      <c r="CV27" t="e">
        <f>AND(#REF!,"AAAAAE4472M=")</f>
        <v>#REF!</v>
      </c>
      <c r="CW27" t="e">
        <f>AND(#REF!,"AAAAAE4472Q=")</f>
        <v>#REF!</v>
      </c>
      <c r="CX27" t="e">
        <f>AND(#REF!,"AAAAAE4472U=")</f>
        <v>#REF!</v>
      </c>
      <c r="CY27" t="e">
        <f>AND(#REF!,"AAAAAE4472Y=")</f>
        <v>#REF!</v>
      </c>
      <c r="CZ27" t="e">
        <f>AND(#REF!,"AAAAAE4472c=")</f>
        <v>#REF!</v>
      </c>
      <c r="DA27" t="e">
        <f>AND(#REF!,"AAAAAE4472g=")</f>
        <v>#REF!</v>
      </c>
      <c r="DB27" t="e">
        <f>AND(#REF!,"AAAAAE4472k=")</f>
        <v>#REF!</v>
      </c>
      <c r="DC27" t="e">
        <f>AND(#REF!,"AAAAAE4472o=")</f>
        <v>#REF!</v>
      </c>
      <c r="DD27" t="e">
        <f>AND(#REF!,"AAAAAE4472s=")</f>
        <v>#REF!</v>
      </c>
      <c r="DE27" t="e">
        <f>IF(#REF!,"AAAAAE4472w=",0)</f>
        <v>#REF!</v>
      </c>
      <c r="DF27" t="e">
        <f>AND(#REF!,"AAAAAE44720=")</f>
        <v>#REF!</v>
      </c>
      <c r="DG27" t="e">
        <f>AND(#REF!,"AAAAAE44724=")</f>
        <v>#REF!</v>
      </c>
      <c r="DH27" t="e">
        <f>AND(#REF!,"AAAAAE44728=")</f>
        <v>#REF!</v>
      </c>
      <c r="DI27" t="e">
        <f>AND(#REF!,"AAAAAE4473A=")</f>
        <v>#REF!</v>
      </c>
      <c r="DJ27" t="e">
        <f>AND(#REF!,"AAAAAE4473E=")</f>
        <v>#REF!</v>
      </c>
      <c r="DK27" t="e">
        <f>AND(#REF!,"AAAAAE4473I=")</f>
        <v>#REF!</v>
      </c>
      <c r="DL27" t="e">
        <f>AND(#REF!,"AAAAAE4473M=")</f>
        <v>#REF!</v>
      </c>
      <c r="DM27" t="e">
        <f>AND(#REF!,"AAAAAE4473Q=")</f>
        <v>#REF!</v>
      </c>
      <c r="DN27" t="e">
        <f>AND(#REF!,"AAAAAE4473U=")</f>
        <v>#REF!</v>
      </c>
      <c r="DO27" t="e">
        <f>AND(#REF!,"AAAAAE4473Y=")</f>
        <v>#REF!</v>
      </c>
      <c r="DP27" t="e">
        <f>AND(#REF!,"AAAAAE4473c=")</f>
        <v>#REF!</v>
      </c>
      <c r="DQ27" t="e">
        <f>AND(#REF!,"AAAAAE4473g=")</f>
        <v>#REF!</v>
      </c>
      <c r="DR27" t="e">
        <f>IF(#REF!,"AAAAAE4473k=",0)</f>
        <v>#REF!</v>
      </c>
      <c r="DS27" t="e">
        <f>AND(#REF!,"AAAAAE4473o=")</f>
        <v>#REF!</v>
      </c>
      <c r="DT27" t="e">
        <f>AND(#REF!,"AAAAAE4473s=")</f>
        <v>#REF!</v>
      </c>
      <c r="DU27" t="e">
        <f>AND(#REF!,"AAAAAE4473w=")</f>
        <v>#REF!</v>
      </c>
      <c r="DV27" t="e">
        <f>AND(#REF!,"AAAAAE44730=")</f>
        <v>#REF!</v>
      </c>
      <c r="DW27" t="e">
        <f>AND(#REF!,"AAAAAE44734=")</f>
        <v>#REF!</v>
      </c>
      <c r="DX27" t="e">
        <f>AND(#REF!,"AAAAAE44738=")</f>
        <v>#REF!</v>
      </c>
      <c r="DY27" t="e">
        <f>AND(#REF!,"AAAAAE4474A=")</f>
        <v>#REF!</v>
      </c>
      <c r="DZ27" t="e">
        <f>AND(#REF!,"AAAAAE4474E=")</f>
        <v>#REF!</v>
      </c>
      <c r="EA27" t="e">
        <f>AND(#REF!,"AAAAAE4474I=")</f>
        <v>#REF!</v>
      </c>
      <c r="EB27" t="e">
        <f>AND(#REF!,"AAAAAE4474M=")</f>
        <v>#REF!</v>
      </c>
      <c r="EC27" t="e">
        <f>AND(#REF!,"AAAAAE4474Q=")</f>
        <v>#REF!</v>
      </c>
      <c r="ED27" t="e">
        <f>AND(#REF!,"AAAAAE4474U=")</f>
        <v>#REF!</v>
      </c>
      <c r="EE27" t="e">
        <f>IF(#REF!,"AAAAAE4474Y=",0)</f>
        <v>#REF!</v>
      </c>
      <c r="EF27" t="e">
        <f>AND(#REF!,"AAAAAE4474c=")</f>
        <v>#REF!</v>
      </c>
      <c r="EG27" t="e">
        <f>AND(#REF!,"AAAAAE4474g=")</f>
        <v>#REF!</v>
      </c>
      <c r="EH27" t="e">
        <f>AND(#REF!,"AAAAAE4474k=")</f>
        <v>#REF!</v>
      </c>
      <c r="EI27" t="e">
        <f>AND(#REF!,"AAAAAE4474o=")</f>
        <v>#REF!</v>
      </c>
      <c r="EJ27" t="e">
        <f>AND(#REF!,"AAAAAE4474s=")</f>
        <v>#REF!</v>
      </c>
      <c r="EK27" t="e">
        <f>AND(#REF!,"AAAAAE4474w=")</f>
        <v>#REF!</v>
      </c>
      <c r="EL27" t="e">
        <f>AND(#REF!,"AAAAAE44740=")</f>
        <v>#REF!</v>
      </c>
      <c r="EM27" t="e">
        <f>AND(#REF!,"AAAAAE44744=")</f>
        <v>#REF!</v>
      </c>
      <c r="EN27" t="e">
        <f>AND(#REF!,"AAAAAE44748=")</f>
        <v>#REF!</v>
      </c>
      <c r="EO27" t="e">
        <f>AND(#REF!,"AAAAAE4475A=")</f>
        <v>#REF!</v>
      </c>
      <c r="EP27" t="e">
        <f>AND(#REF!,"AAAAAE4475E=")</f>
        <v>#REF!</v>
      </c>
      <c r="EQ27" t="e">
        <f>AND(#REF!,"AAAAAE4475I=")</f>
        <v>#REF!</v>
      </c>
      <c r="ER27" t="e">
        <f>IF(#REF!,"AAAAAE4475M=",0)</f>
        <v>#REF!</v>
      </c>
      <c r="ES27" t="e">
        <f>AND(#REF!,"AAAAAE4475Q=")</f>
        <v>#REF!</v>
      </c>
      <c r="ET27" t="e">
        <f>AND(#REF!,"AAAAAE4475U=")</f>
        <v>#REF!</v>
      </c>
      <c r="EU27" t="e">
        <f>AND(#REF!,"AAAAAE4475Y=")</f>
        <v>#REF!</v>
      </c>
      <c r="EV27" t="e">
        <f>AND(#REF!,"AAAAAE4475c=")</f>
        <v>#REF!</v>
      </c>
      <c r="EW27" t="e">
        <f>AND(#REF!,"AAAAAE4475g=")</f>
        <v>#REF!</v>
      </c>
      <c r="EX27" t="e">
        <f>AND(#REF!,"AAAAAE4475k=")</f>
        <v>#REF!</v>
      </c>
      <c r="EY27" t="e">
        <f>AND(#REF!,"AAAAAE4475o=")</f>
        <v>#REF!</v>
      </c>
      <c r="EZ27" t="e">
        <f>AND(#REF!,"AAAAAE4475s=")</f>
        <v>#REF!</v>
      </c>
      <c r="FA27" t="e">
        <f>AND(#REF!,"AAAAAE4475w=")</f>
        <v>#REF!</v>
      </c>
      <c r="FB27" t="e">
        <f>AND(#REF!,"AAAAAE44750=")</f>
        <v>#REF!</v>
      </c>
      <c r="FC27" t="e">
        <f>AND(#REF!,"AAAAAE44754=")</f>
        <v>#REF!</v>
      </c>
      <c r="FD27" t="e">
        <f>AND(#REF!,"AAAAAE44758=")</f>
        <v>#REF!</v>
      </c>
      <c r="FE27" t="e">
        <f>IF(#REF!,"AAAAAE4476A=",0)</f>
        <v>#REF!</v>
      </c>
      <c r="FF27" t="e">
        <f>AND(#REF!,"AAAAAE4476E=")</f>
        <v>#REF!</v>
      </c>
      <c r="FG27" t="e">
        <f>AND(#REF!,"AAAAAE4476I=")</f>
        <v>#REF!</v>
      </c>
      <c r="FH27" t="e">
        <f>AND(#REF!,"AAAAAE4476M=")</f>
        <v>#REF!</v>
      </c>
      <c r="FI27" t="e">
        <f>AND(#REF!,"AAAAAE4476Q=")</f>
        <v>#REF!</v>
      </c>
      <c r="FJ27" t="e">
        <f>AND(#REF!,"AAAAAE4476U=")</f>
        <v>#REF!</v>
      </c>
      <c r="FK27" t="e">
        <f>AND(#REF!,"AAAAAE4476Y=")</f>
        <v>#REF!</v>
      </c>
      <c r="FL27" t="e">
        <f>AND(#REF!,"AAAAAE4476c=")</f>
        <v>#REF!</v>
      </c>
      <c r="FM27" t="e">
        <f>AND(#REF!,"AAAAAE4476g=")</f>
        <v>#REF!</v>
      </c>
      <c r="FN27" t="e">
        <f>AND(#REF!,"AAAAAE4476k=")</f>
        <v>#REF!</v>
      </c>
      <c r="FO27" t="e">
        <f>AND(#REF!,"AAAAAE4476o=")</f>
        <v>#REF!</v>
      </c>
      <c r="FP27" t="e">
        <f>AND(#REF!,"AAAAAE4476s=")</f>
        <v>#REF!</v>
      </c>
      <c r="FQ27" t="e">
        <f>AND(#REF!,"AAAAAE4476w=")</f>
        <v>#REF!</v>
      </c>
      <c r="FR27" t="e">
        <f>IF(#REF!,"AAAAAE44760=",0)</f>
        <v>#REF!</v>
      </c>
      <c r="FS27" t="e">
        <f>AND(#REF!,"AAAAAE44764=")</f>
        <v>#REF!</v>
      </c>
      <c r="FT27" t="e">
        <f>AND(#REF!,"AAAAAE44768=")</f>
        <v>#REF!</v>
      </c>
      <c r="FU27" t="e">
        <f>AND(#REF!,"AAAAAE4477A=")</f>
        <v>#REF!</v>
      </c>
      <c r="FV27" t="e">
        <f>AND(#REF!,"AAAAAE4477E=")</f>
        <v>#REF!</v>
      </c>
      <c r="FW27" t="e">
        <f>AND(#REF!,"AAAAAE4477I=")</f>
        <v>#REF!</v>
      </c>
      <c r="FX27" t="e">
        <f>AND(#REF!,"AAAAAE4477M=")</f>
        <v>#REF!</v>
      </c>
      <c r="FY27" t="e">
        <f>AND(#REF!,"AAAAAE4477Q=")</f>
        <v>#REF!</v>
      </c>
      <c r="FZ27" t="e">
        <f>AND(#REF!,"AAAAAE4477U=")</f>
        <v>#REF!</v>
      </c>
      <c r="GA27" t="e">
        <f>AND(#REF!,"AAAAAE4477Y=")</f>
        <v>#REF!</v>
      </c>
      <c r="GB27" t="e">
        <f>AND(#REF!,"AAAAAE4477c=")</f>
        <v>#REF!</v>
      </c>
      <c r="GC27" t="e">
        <f>AND(#REF!,"AAAAAE4477g=")</f>
        <v>#REF!</v>
      </c>
      <c r="GD27" t="e">
        <f>AND(#REF!,"AAAAAE4477k=")</f>
        <v>#REF!</v>
      </c>
      <c r="GE27" t="e">
        <f>IF(#REF!,"AAAAAE4477o=",0)</f>
        <v>#REF!</v>
      </c>
      <c r="GF27" t="e">
        <f>AND(#REF!,"AAAAAE4477s=")</f>
        <v>#REF!</v>
      </c>
      <c r="GG27" t="e">
        <f>AND(#REF!,"AAAAAE4477w=")</f>
        <v>#REF!</v>
      </c>
      <c r="GH27" t="e">
        <f>AND(#REF!,"AAAAAE44770=")</f>
        <v>#REF!</v>
      </c>
      <c r="GI27" t="e">
        <f>AND(#REF!,"AAAAAE44774=")</f>
        <v>#REF!</v>
      </c>
      <c r="GJ27" t="e">
        <f>AND(#REF!,"AAAAAE44778=")</f>
        <v>#REF!</v>
      </c>
      <c r="GK27" t="e">
        <f>AND(#REF!,"AAAAAE4478A=")</f>
        <v>#REF!</v>
      </c>
      <c r="GL27" t="e">
        <f>AND(#REF!,"AAAAAE4478E=")</f>
        <v>#REF!</v>
      </c>
      <c r="GM27" t="e">
        <f>AND(#REF!,"AAAAAE4478I=")</f>
        <v>#REF!</v>
      </c>
      <c r="GN27" t="e">
        <f>AND(#REF!,"AAAAAE4478M=")</f>
        <v>#REF!</v>
      </c>
      <c r="GO27" t="e">
        <f>AND(#REF!,"AAAAAE4478Q=")</f>
        <v>#REF!</v>
      </c>
      <c r="GP27" t="e">
        <f>AND(#REF!,"AAAAAE4478U=")</f>
        <v>#REF!</v>
      </c>
      <c r="GQ27" t="e">
        <f>AND(#REF!,"AAAAAE4478Y=")</f>
        <v>#REF!</v>
      </c>
      <c r="GR27" t="e">
        <f>IF(#REF!,"AAAAAE4478c=",0)</f>
        <v>#REF!</v>
      </c>
      <c r="GS27" t="e">
        <f>AND(#REF!,"AAAAAE4478g=")</f>
        <v>#REF!</v>
      </c>
      <c r="GT27" t="e">
        <f>AND(#REF!,"AAAAAE4478k=")</f>
        <v>#REF!</v>
      </c>
      <c r="GU27" t="e">
        <f>AND(#REF!,"AAAAAE4478o=")</f>
        <v>#REF!</v>
      </c>
      <c r="GV27" t="e">
        <f>AND(#REF!,"AAAAAE4478s=")</f>
        <v>#REF!</v>
      </c>
      <c r="GW27" t="e">
        <f>AND(#REF!,"AAAAAE4478w=")</f>
        <v>#REF!</v>
      </c>
      <c r="GX27" t="e">
        <f>AND(#REF!,"AAAAAE44780=")</f>
        <v>#REF!</v>
      </c>
      <c r="GY27" t="e">
        <f>AND(#REF!,"AAAAAE44784=")</f>
        <v>#REF!</v>
      </c>
      <c r="GZ27" t="e">
        <f>AND(#REF!,"AAAAAE44788=")</f>
        <v>#REF!</v>
      </c>
      <c r="HA27" t="e">
        <f>AND(#REF!,"AAAAAE4479A=")</f>
        <v>#REF!</v>
      </c>
      <c r="HB27" t="e">
        <f>AND(#REF!,"AAAAAE4479E=")</f>
        <v>#REF!</v>
      </c>
      <c r="HC27" t="e">
        <f>AND(#REF!,"AAAAAE4479I=")</f>
        <v>#REF!</v>
      </c>
      <c r="HD27" t="e">
        <f>AND(#REF!,"AAAAAE4479M=")</f>
        <v>#REF!</v>
      </c>
      <c r="HE27" t="e">
        <f>IF(#REF!,"AAAAAE4479Q=",0)</f>
        <v>#REF!</v>
      </c>
      <c r="HF27" t="e">
        <f>AND(#REF!,"AAAAAE4479U=")</f>
        <v>#REF!</v>
      </c>
      <c r="HG27" t="e">
        <f>AND(#REF!,"AAAAAE4479Y=")</f>
        <v>#REF!</v>
      </c>
      <c r="HH27" t="e">
        <f>AND(#REF!,"AAAAAE4479c=")</f>
        <v>#REF!</v>
      </c>
      <c r="HI27" t="e">
        <f>AND(#REF!,"AAAAAE4479g=")</f>
        <v>#REF!</v>
      </c>
      <c r="HJ27" t="e">
        <f>AND(#REF!,"AAAAAE4479k=")</f>
        <v>#REF!</v>
      </c>
      <c r="HK27" t="e">
        <f>AND(#REF!,"AAAAAE4479o=")</f>
        <v>#REF!</v>
      </c>
      <c r="HL27" t="e">
        <f>AND(#REF!,"AAAAAE4479s=")</f>
        <v>#REF!</v>
      </c>
      <c r="HM27" t="e">
        <f>AND(#REF!,"AAAAAE4479w=")</f>
        <v>#REF!</v>
      </c>
      <c r="HN27" t="e">
        <f>AND(#REF!,"AAAAAE44790=")</f>
        <v>#REF!</v>
      </c>
      <c r="HO27" t="e">
        <f>AND(#REF!,"AAAAAE44794=")</f>
        <v>#REF!</v>
      </c>
      <c r="HP27" t="e">
        <f>AND(#REF!,"AAAAAE44798=")</f>
        <v>#REF!</v>
      </c>
      <c r="HQ27" t="e">
        <f>AND(#REF!,"AAAAAE447+A=")</f>
        <v>#REF!</v>
      </c>
      <c r="HR27" t="e">
        <f>IF(#REF!,"AAAAAE447+E=",0)</f>
        <v>#REF!</v>
      </c>
      <c r="HS27" t="e">
        <f>AND(#REF!,"AAAAAE447+I=")</f>
        <v>#REF!</v>
      </c>
      <c r="HT27" t="e">
        <f>AND(#REF!,"AAAAAE447+M=")</f>
        <v>#REF!</v>
      </c>
      <c r="HU27" t="e">
        <f>AND(#REF!,"AAAAAE447+Q=")</f>
        <v>#REF!</v>
      </c>
      <c r="HV27" t="e">
        <f>AND(#REF!,"AAAAAE447+U=")</f>
        <v>#REF!</v>
      </c>
      <c r="HW27" t="e">
        <f>AND(#REF!,"AAAAAE447+Y=")</f>
        <v>#REF!</v>
      </c>
      <c r="HX27" t="e">
        <f>AND(#REF!,"AAAAAE447+c=")</f>
        <v>#REF!</v>
      </c>
      <c r="HY27" t="e">
        <f>AND(#REF!,"AAAAAE447+g=")</f>
        <v>#REF!</v>
      </c>
      <c r="HZ27" t="e">
        <f>AND(#REF!,"AAAAAE447+k=")</f>
        <v>#REF!</v>
      </c>
      <c r="IA27" t="e">
        <f>AND(#REF!,"AAAAAE447+o=")</f>
        <v>#REF!</v>
      </c>
      <c r="IB27" t="e">
        <f>AND(#REF!,"AAAAAE447+s=")</f>
        <v>#REF!</v>
      </c>
      <c r="IC27" t="e">
        <f>AND(#REF!,"AAAAAE447+w=")</f>
        <v>#REF!</v>
      </c>
      <c r="ID27" t="e">
        <f>AND(#REF!,"AAAAAE447+0=")</f>
        <v>#REF!</v>
      </c>
      <c r="IE27" t="e">
        <f>IF(#REF!,"AAAAAE447+4=",0)</f>
        <v>#REF!</v>
      </c>
      <c r="IF27" t="e">
        <f>AND(#REF!,"AAAAAE447+8=")</f>
        <v>#REF!</v>
      </c>
      <c r="IG27" t="e">
        <f>AND(#REF!,"AAAAAE447/A=")</f>
        <v>#REF!</v>
      </c>
      <c r="IH27" t="e">
        <f>AND(#REF!,"AAAAAE447/E=")</f>
        <v>#REF!</v>
      </c>
      <c r="II27" t="e">
        <f>AND(#REF!,"AAAAAE447/I=")</f>
        <v>#REF!</v>
      </c>
      <c r="IJ27" t="e">
        <f>AND(#REF!,"AAAAAE447/M=")</f>
        <v>#REF!</v>
      </c>
      <c r="IK27" t="e">
        <f>AND(#REF!,"AAAAAE447/Q=")</f>
        <v>#REF!</v>
      </c>
      <c r="IL27" t="e">
        <f>AND(#REF!,"AAAAAE447/U=")</f>
        <v>#REF!</v>
      </c>
      <c r="IM27" t="e">
        <f>AND(#REF!,"AAAAAE447/Y=")</f>
        <v>#REF!</v>
      </c>
      <c r="IN27" t="e">
        <f>AND(#REF!,"AAAAAE447/c=")</f>
        <v>#REF!</v>
      </c>
      <c r="IO27" t="e">
        <f>AND(#REF!,"AAAAAE447/g=")</f>
        <v>#REF!</v>
      </c>
      <c r="IP27" t="e">
        <f>AND(#REF!,"AAAAAE447/k=")</f>
        <v>#REF!</v>
      </c>
      <c r="IQ27" t="e">
        <f>AND(#REF!,"AAAAAE447/o=")</f>
        <v>#REF!</v>
      </c>
      <c r="IR27" t="e">
        <f>IF(#REF!,"AAAAAE447/s=",0)</f>
        <v>#REF!</v>
      </c>
      <c r="IS27" t="e">
        <f>AND(#REF!,"AAAAAE447/w=")</f>
        <v>#REF!</v>
      </c>
      <c r="IT27" t="e">
        <f>AND(#REF!,"AAAAAE447/0=")</f>
        <v>#REF!</v>
      </c>
      <c r="IU27" t="e">
        <f>AND(#REF!,"AAAAAE447/4=")</f>
        <v>#REF!</v>
      </c>
      <c r="IV27" t="e">
        <f>AND(#REF!,"AAAAAE447/8=")</f>
        <v>#REF!</v>
      </c>
    </row>
    <row r="28" spans="1:256">
      <c r="A28" t="e">
        <f>AND(#REF!,"AAAAAH/S3gA=")</f>
        <v>#REF!</v>
      </c>
      <c r="B28" t="e">
        <f>AND(#REF!,"AAAAAH/S3gE=")</f>
        <v>#REF!</v>
      </c>
      <c r="C28" t="e">
        <f>AND(#REF!,"AAAAAH/S3gI=")</f>
        <v>#REF!</v>
      </c>
      <c r="D28" t="e">
        <f>AND(#REF!,"AAAAAH/S3gM=")</f>
        <v>#REF!</v>
      </c>
      <c r="E28" t="e">
        <f>AND(#REF!,"AAAAAH/S3gQ=")</f>
        <v>#REF!</v>
      </c>
      <c r="F28" t="e">
        <f>AND(#REF!,"AAAAAH/S3gU=")</f>
        <v>#REF!</v>
      </c>
      <c r="G28" t="e">
        <f>AND(#REF!,"AAAAAH/S3gY=")</f>
        <v>#REF!</v>
      </c>
      <c r="H28" t="e">
        <f>AND(#REF!,"AAAAAH/S3gc=")</f>
        <v>#REF!</v>
      </c>
      <c r="I28" t="e">
        <f>IF(#REF!,"AAAAAH/S3gg=",0)</f>
        <v>#REF!</v>
      </c>
      <c r="J28" t="e">
        <f>AND(#REF!,"AAAAAH/S3gk=")</f>
        <v>#REF!</v>
      </c>
      <c r="K28" t="e">
        <f>AND(#REF!,"AAAAAH/S3go=")</f>
        <v>#REF!</v>
      </c>
      <c r="L28" t="e">
        <f>AND(#REF!,"AAAAAH/S3gs=")</f>
        <v>#REF!</v>
      </c>
      <c r="M28" t="e">
        <f>AND(#REF!,"AAAAAH/S3gw=")</f>
        <v>#REF!</v>
      </c>
      <c r="N28" t="e">
        <f>AND(#REF!,"AAAAAH/S3g0=")</f>
        <v>#REF!</v>
      </c>
      <c r="O28" t="e">
        <f>AND(#REF!,"AAAAAH/S3g4=")</f>
        <v>#REF!</v>
      </c>
      <c r="P28" t="e">
        <f>AND(#REF!,"AAAAAH/S3g8=")</f>
        <v>#REF!</v>
      </c>
      <c r="Q28" t="e">
        <f>AND(#REF!,"AAAAAH/S3hA=")</f>
        <v>#REF!</v>
      </c>
      <c r="R28" t="e">
        <f>AND(#REF!,"AAAAAH/S3hE=")</f>
        <v>#REF!</v>
      </c>
      <c r="S28" t="e">
        <f>AND(#REF!,"AAAAAH/S3hI=")</f>
        <v>#REF!</v>
      </c>
      <c r="T28" t="e">
        <f>AND(#REF!,"AAAAAH/S3hM=")</f>
        <v>#REF!</v>
      </c>
      <c r="U28" t="e">
        <f>AND(#REF!,"AAAAAH/S3hQ=")</f>
        <v>#REF!</v>
      </c>
      <c r="V28" t="e">
        <f>IF(#REF!,"AAAAAH/S3hU=",0)</f>
        <v>#REF!</v>
      </c>
      <c r="W28" t="e">
        <f>AND(#REF!,"AAAAAH/S3hY=")</f>
        <v>#REF!</v>
      </c>
      <c r="X28" t="e">
        <f>AND(#REF!,"AAAAAH/S3hc=")</f>
        <v>#REF!</v>
      </c>
      <c r="Y28" t="e">
        <f>AND(#REF!,"AAAAAH/S3hg=")</f>
        <v>#REF!</v>
      </c>
      <c r="Z28" t="e">
        <f>AND(#REF!,"AAAAAH/S3hk=")</f>
        <v>#REF!</v>
      </c>
      <c r="AA28" t="e">
        <f>AND(#REF!,"AAAAAH/S3ho=")</f>
        <v>#REF!</v>
      </c>
      <c r="AB28" t="e">
        <f>AND(#REF!,"AAAAAH/S3hs=")</f>
        <v>#REF!</v>
      </c>
      <c r="AC28" t="e">
        <f>AND(#REF!,"AAAAAH/S3hw=")</f>
        <v>#REF!</v>
      </c>
      <c r="AD28" t="e">
        <f>AND(#REF!,"AAAAAH/S3h0=")</f>
        <v>#REF!</v>
      </c>
      <c r="AE28" t="e">
        <f>AND(#REF!,"AAAAAH/S3h4=")</f>
        <v>#REF!</v>
      </c>
      <c r="AF28" t="e">
        <f>AND(#REF!,"AAAAAH/S3h8=")</f>
        <v>#REF!</v>
      </c>
      <c r="AG28" t="e">
        <f>AND(#REF!,"AAAAAH/S3iA=")</f>
        <v>#REF!</v>
      </c>
      <c r="AH28" t="e">
        <f>AND(#REF!,"AAAAAH/S3iE=")</f>
        <v>#REF!</v>
      </c>
      <c r="AI28" t="e">
        <f>IF(#REF!,"AAAAAH/S3iI=",0)</f>
        <v>#REF!</v>
      </c>
      <c r="AJ28" t="e">
        <f>AND(#REF!,"AAAAAH/S3iM=")</f>
        <v>#REF!</v>
      </c>
      <c r="AK28" t="e">
        <f>AND(#REF!,"AAAAAH/S3iQ=")</f>
        <v>#REF!</v>
      </c>
      <c r="AL28" t="e">
        <f>AND(#REF!,"AAAAAH/S3iU=")</f>
        <v>#REF!</v>
      </c>
      <c r="AM28" t="e">
        <f>AND(#REF!,"AAAAAH/S3iY=")</f>
        <v>#REF!</v>
      </c>
      <c r="AN28" t="e">
        <f>AND(#REF!,"AAAAAH/S3ic=")</f>
        <v>#REF!</v>
      </c>
      <c r="AO28" t="e">
        <f>AND(#REF!,"AAAAAH/S3ig=")</f>
        <v>#REF!</v>
      </c>
      <c r="AP28" t="e">
        <f>AND(#REF!,"AAAAAH/S3ik=")</f>
        <v>#REF!</v>
      </c>
      <c r="AQ28" t="e">
        <f>AND(#REF!,"AAAAAH/S3io=")</f>
        <v>#REF!</v>
      </c>
      <c r="AR28" t="e">
        <f>AND(#REF!,"AAAAAH/S3is=")</f>
        <v>#REF!</v>
      </c>
      <c r="AS28" t="e">
        <f>AND(#REF!,"AAAAAH/S3iw=")</f>
        <v>#REF!</v>
      </c>
      <c r="AT28" t="e">
        <f>AND(#REF!,"AAAAAH/S3i0=")</f>
        <v>#REF!</v>
      </c>
      <c r="AU28" t="e">
        <f>AND(#REF!,"AAAAAH/S3i4=")</f>
        <v>#REF!</v>
      </c>
      <c r="AV28" t="e">
        <f>IF(#REF!,"AAAAAH/S3i8=",0)</f>
        <v>#REF!</v>
      </c>
      <c r="AW28" t="e">
        <f>AND(#REF!,"AAAAAH/S3jA=")</f>
        <v>#REF!</v>
      </c>
      <c r="AX28" t="e">
        <f>AND(#REF!,"AAAAAH/S3jE=")</f>
        <v>#REF!</v>
      </c>
      <c r="AY28" t="e">
        <f>AND(#REF!,"AAAAAH/S3jI=")</f>
        <v>#REF!</v>
      </c>
      <c r="AZ28" t="e">
        <f>AND(#REF!,"AAAAAH/S3jM=")</f>
        <v>#REF!</v>
      </c>
      <c r="BA28" t="e">
        <f>AND(#REF!,"AAAAAH/S3jQ=")</f>
        <v>#REF!</v>
      </c>
      <c r="BB28" t="e">
        <f>AND(#REF!,"AAAAAH/S3jU=")</f>
        <v>#REF!</v>
      </c>
      <c r="BC28" t="e">
        <f>AND(#REF!,"AAAAAH/S3jY=")</f>
        <v>#REF!</v>
      </c>
      <c r="BD28" t="e">
        <f>AND(#REF!,"AAAAAH/S3jc=")</f>
        <v>#REF!</v>
      </c>
      <c r="BE28" t="e">
        <f>AND(#REF!,"AAAAAH/S3jg=")</f>
        <v>#REF!</v>
      </c>
      <c r="BF28" t="e">
        <f>AND(#REF!,"AAAAAH/S3jk=")</f>
        <v>#REF!</v>
      </c>
      <c r="BG28" t="e">
        <f>AND(#REF!,"AAAAAH/S3jo=")</f>
        <v>#REF!</v>
      </c>
      <c r="BH28" t="e">
        <f>AND(#REF!,"AAAAAH/S3js=")</f>
        <v>#REF!</v>
      </c>
      <c r="BI28" t="e">
        <f>IF(#REF!,"AAAAAH/S3jw=",0)</f>
        <v>#REF!</v>
      </c>
      <c r="BJ28" t="e">
        <f>AND(#REF!,"AAAAAH/S3j0=")</f>
        <v>#REF!</v>
      </c>
      <c r="BK28" t="e">
        <f>AND(#REF!,"AAAAAH/S3j4=")</f>
        <v>#REF!</v>
      </c>
      <c r="BL28" t="e">
        <f>AND(#REF!,"AAAAAH/S3j8=")</f>
        <v>#REF!</v>
      </c>
      <c r="BM28" t="e">
        <f>AND(#REF!,"AAAAAH/S3kA=")</f>
        <v>#REF!</v>
      </c>
      <c r="BN28" t="e">
        <f>AND(#REF!,"AAAAAH/S3kE=")</f>
        <v>#REF!</v>
      </c>
      <c r="BO28" t="e">
        <f>AND(#REF!,"AAAAAH/S3kI=")</f>
        <v>#REF!</v>
      </c>
      <c r="BP28" t="e">
        <f>AND(#REF!,"AAAAAH/S3kM=")</f>
        <v>#REF!</v>
      </c>
      <c r="BQ28" t="e">
        <f>AND(#REF!,"AAAAAH/S3kQ=")</f>
        <v>#REF!</v>
      </c>
      <c r="BR28" t="e">
        <f>AND(#REF!,"AAAAAH/S3kU=")</f>
        <v>#REF!</v>
      </c>
      <c r="BS28" t="e">
        <f>AND(#REF!,"AAAAAH/S3kY=")</f>
        <v>#REF!</v>
      </c>
      <c r="BT28" t="e">
        <f>AND(#REF!,"AAAAAH/S3kc=")</f>
        <v>#REF!</v>
      </c>
      <c r="BU28" t="e">
        <f>AND(#REF!,"AAAAAH/S3kg=")</f>
        <v>#REF!</v>
      </c>
      <c r="BV28" t="e">
        <f>IF(#REF!,"AAAAAH/S3kk=",0)</f>
        <v>#REF!</v>
      </c>
      <c r="BW28" t="e">
        <f>IF(#REF!,"AAAAAH/S3ko=",0)</f>
        <v>#REF!</v>
      </c>
      <c r="BX28" t="e">
        <f>IF(#REF!,"AAAAAH/S3ks=",0)</f>
        <v>#REF!</v>
      </c>
      <c r="BY28" t="e">
        <f>IF(#REF!,"AAAAAH/S3kw=",0)</f>
        <v>#REF!</v>
      </c>
      <c r="BZ28" t="e">
        <f>IF(#REF!,"AAAAAH/S3k0=",0)</f>
        <v>#REF!</v>
      </c>
      <c r="CA28" t="e">
        <f>IF(#REF!,"AAAAAH/S3k4=",0)</f>
        <v>#REF!</v>
      </c>
      <c r="CB28" t="e">
        <f>IF(#REF!,"AAAAAH/S3k8=",0)</f>
        <v>#REF!</v>
      </c>
      <c r="CC28" t="e">
        <f>IF(#REF!,"AAAAAH/S3lA=",0)</f>
        <v>#REF!</v>
      </c>
      <c r="CD28" t="e">
        <f>IF(#REF!,"AAAAAH/S3lE=",0)</f>
        <v>#REF!</v>
      </c>
      <c r="CE28" t="e">
        <f>IF(#REF!,"AAAAAH/S3lI=",0)</f>
        <v>#REF!</v>
      </c>
      <c r="CF28" t="e">
        <f>IF(#REF!,"AAAAAH/S3lM=",0)</f>
        <v>#REF!</v>
      </c>
      <c r="CG28" t="e">
        <f>IF(#REF!,"AAAAAH/S3lQ=",0)</f>
        <v>#REF!</v>
      </c>
      <c r="CH28" t="e">
        <f>IF(#REF!,"AAAAAH/S3lU=",0)</f>
        <v>#REF!</v>
      </c>
      <c r="CI28" t="e">
        <f>IF(#REF!,"AAAAAH/S3lY=",0)</f>
        <v>#REF!</v>
      </c>
      <c r="CJ28" t="e">
        <f>IF(#REF!,"AAAAAH/S3lc=",0)</f>
        <v>#REF!</v>
      </c>
      <c r="CK28" t="e">
        <f>IF(#REF!,"AAAAAH/S3lg=",0)</f>
        <v>#REF!</v>
      </c>
      <c r="CL28" t="e">
        <f>IF(#REF!,"AAAAAH/S3lk=",0)</f>
        <v>#REF!</v>
      </c>
      <c r="CM28" t="e">
        <f>IF(#REF!,"AAAAAH/S3lo=",0)</f>
        <v>#REF!</v>
      </c>
      <c r="CN28" t="e">
        <f>IF(#REF!,"AAAAAH/S3ls=",0)</f>
        <v>#REF!</v>
      </c>
      <c r="CO28" t="e">
        <f>IF(#REF!,"AAAAAH/S3lw=",0)</f>
        <v>#REF!</v>
      </c>
      <c r="CP28" t="e">
        <f>IF(#REF!,"AAAAAH/S3l0=",0)</f>
        <v>#REF!</v>
      </c>
      <c r="CQ28" t="e">
        <f>IF(#REF!,"AAAAAH/S3l4=",0)</f>
        <v>#REF!</v>
      </c>
      <c r="CR28" t="e">
        <f>IF(#REF!,"AAAAAH/S3l8=",0)</f>
        <v>#REF!</v>
      </c>
      <c r="CS28" t="e">
        <f>IF(#REF!,"AAAAAH/S3mA=",0)</f>
        <v>#REF!</v>
      </c>
      <c r="CT28" t="e">
        <f>IF(#REF!,"AAAAAH/S3mE=",0)</f>
        <v>#REF!</v>
      </c>
      <c r="CU28" t="e">
        <f>IF(#REF!,"AAAAAH/S3mI=",0)</f>
        <v>#REF!</v>
      </c>
      <c r="CV28" t="e">
        <f>IF(#REF!,"AAAAAH/S3mM=",0)</f>
        <v>#REF!</v>
      </c>
      <c r="CW28" t="e">
        <f>IF(#REF!,"AAAAAH/S3mQ=",0)</f>
        <v>#REF!</v>
      </c>
      <c r="CX28" t="e">
        <f>IF(#REF!,"AAAAAH/S3mU=",0)</f>
        <v>#REF!</v>
      </c>
      <c r="CY28" t="e">
        <f>IF(#REF!,"AAAAAH/S3mY=",0)</f>
        <v>#REF!</v>
      </c>
      <c r="CZ28" t="e">
        <f>IF(#REF!,"AAAAAH/S3mc=",0)</f>
        <v>#REF!</v>
      </c>
      <c r="DA28" t="e">
        <f>IF(#REF!,"AAAAAH/S3mg=",0)</f>
        <v>#REF!</v>
      </c>
      <c r="DB28" t="e">
        <f>IF(#REF!,"AAAAAH/S3mk=",0)</f>
        <v>#REF!</v>
      </c>
      <c r="DC28" t="e">
        <f>IF(#REF!,"AAAAAH/S3mo=",0)</f>
        <v>#REF!</v>
      </c>
      <c r="DD28" t="e">
        <f>IF(#REF!,"AAAAAH/S3ms=",0)</f>
        <v>#REF!</v>
      </c>
      <c r="DE28" t="e">
        <f>IF(#REF!,"AAAAAH/S3mw=",0)</f>
        <v>#REF!</v>
      </c>
      <c r="DF28" t="e">
        <f>IF(#REF!,"AAAAAH/S3m0=",0)</f>
        <v>#REF!</v>
      </c>
      <c r="DG28" t="e">
        <f>IF(#REF!,"AAAAAH/S3m4=",0)</f>
        <v>#REF!</v>
      </c>
      <c r="DH28" t="e">
        <f>IF(#REF!,"AAAAAH/S3m8=",0)</f>
        <v>#REF!</v>
      </c>
      <c r="DI28" t="e">
        <f>IF(#REF!,"AAAAAH/S3nA=",0)</f>
        <v>#REF!</v>
      </c>
      <c r="DJ28" t="e">
        <f>IF(#REF!,"AAAAAH/S3nE=",0)</f>
        <v>#REF!</v>
      </c>
      <c r="DK28" t="e">
        <f>IF(#REF!,"AAAAAH/S3nI=",0)</f>
        <v>#REF!</v>
      </c>
      <c r="DL28" t="e">
        <f>IF(#REF!,"AAAAAH/S3nM=",0)</f>
        <v>#REF!</v>
      </c>
      <c r="DM28" t="e">
        <f>IF(#REF!,"AAAAAH/S3nQ=",0)</f>
        <v>#REF!</v>
      </c>
      <c r="DN28" t="e">
        <f>IF(#REF!,"AAAAAH/S3nU=",0)</f>
        <v>#REF!</v>
      </c>
      <c r="DO28" t="e">
        <f>IF(#REF!,"AAAAAH/S3nY=",0)</f>
        <v>#REF!</v>
      </c>
      <c r="DP28" t="e">
        <f>IF(#REF!,"AAAAAH/S3nc=",0)</f>
        <v>#REF!</v>
      </c>
      <c r="DQ28" t="e">
        <f>IF(#REF!,"AAAAAH/S3ng=",0)</f>
        <v>#REF!</v>
      </c>
      <c r="DR28" t="e">
        <f>IF(#REF!,"AAAAAH/S3nk=",0)</f>
        <v>#REF!</v>
      </c>
      <c r="DS28" t="e">
        <f>IF(#REF!,"AAAAAH/S3no=",0)</f>
        <v>#REF!</v>
      </c>
      <c r="DT28" t="e">
        <f>IF(#REF!,"AAAAAH/S3ns=",0)</f>
        <v>#REF!</v>
      </c>
      <c r="DU28" t="e">
        <f>IF(#REF!,"AAAAAH/S3nw=",0)</f>
        <v>#REF!</v>
      </c>
      <c r="DV28" t="e">
        <f>IF(#REF!,"AAAAAH/S3n0=",0)</f>
        <v>#REF!</v>
      </c>
      <c r="DW28" t="e">
        <f>IF(#REF!,"AAAAAH/S3n4=",0)</f>
        <v>#REF!</v>
      </c>
      <c r="DX28" t="e">
        <f>IF(#REF!,"AAAAAH/S3n8=",0)</f>
        <v>#REF!</v>
      </c>
      <c r="DY28" t="e">
        <f>IF(#REF!,"AAAAAH/S3oA=",0)</f>
        <v>#REF!</v>
      </c>
      <c r="DZ28" t="e">
        <f>IF(#REF!,"AAAAAH/S3oE=",0)</f>
        <v>#REF!</v>
      </c>
      <c r="EA28" t="e">
        <f>IF(#REF!,"AAAAAH/S3oI=",0)</f>
        <v>#REF!</v>
      </c>
      <c r="EB28" t="e">
        <f>IF(#REF!,"AAAAAH/S3oM=",0)</f>
        <v>#REF!</v>
      </c>
      <c r="EC28" t="e">
        <f>IF(#REF!,"AAAAAH/S3oQ=",0)</f>
        <v>#REF!</v>
      </c>
      <c r="ED28" t="e">
        <f>IF(#REF!,"AAAAAH/S3oU=",0)</f>
        <v>#REF!</v>
      </c>
      <c r="EE28" t="e">
        <f>IF(#REF!,"AAAAAH/S3oY=",0)</f>
        <v>#REF!</v>
      </c>
      <c r="EF28" t="e">
        <f>IF(#REF!,"AAAAAH/S3oc=",0)</f>
        <v>#REF!</v>
      </c>
      <c r="EG28" t="e">
        <f>IF(#REF!,"AAAAAH/S3og=",0)</f>
        <v>#REF!</v>
      </c>
      <c r="EH28" t="e">
        <f>IF(#REF!,"AAAAAH/S3ok=",0)</f>
        <v>#REF!</v>
      </c>
      <c r="EI28" t="e">
        <f>IF(#REF!,"AAAAAH/S3oo=",0)</f>
        <v>#REF!</v>
      </c>
      <c r="EJ28" t="e">
        <f>IF(#REF!,"AAAAAH/S3os=",0)</f>
        <v>#REF!</v>
      </c>
      <c r="EK28" t="e">
        <f>IF(#REF!,"AAAAAH/S3ow=",0)</f>
        <v>#REF!</v>
      </c>
      <c r="EL28" t="e">
        <f>IF(#REF!,"AAAAAH/S3o0=",0)</f>
        <v>#REF!</v>
      </c>
      <c r="EM28" t="e">
        <f>IF(#REF!,"AAAAAH/S3o4=",0)</f>
        <v>#REF!</v>
      </c>
      <c r="EN28" t="e">
        <f>IF(#REF!,"AAAAAH/S3o8=",0)</f>
        <v>#REF!</v>
      </c>
      <c r="EO28" t="e">
        <f>IF(#REF!,"AAAAAH/S3pA=",0)</f>
        <v>#REF!</v>
      </c>
      <c r="EP28" t="e">
        <f>IF(#REF!,"AAAAAH/S3pE=",0)</f>
        <v>#REF!</v>
      </c>
      <c r="EQ28" t="e">
        <f>IF(#REF!,"AAAAAH/S3pI=",0)</f>
        <v>#REF!</v>
      </c>
      <c r="ER28" t="e">
        <f>IF(#REF!,"AAAAAH/S3pM=",0)</f>
        <v>#REF!</v>
      </c>
      <c r="ES28" t="e">
        <f>IF(#REF!,"AAAAAH/S3pQ=",0)</f>
        <v>#REF!</v>
      </c>
      <c r="ET28" t="e">
        <f>IF(#REF!,"AAAAAH/S3pU=",0)</f>
        <v>#REF!</v>
      </c>
      <c r="EU28" t="e">
        <f>IF(#REF!,"AAAAAH/S3pY=",0)</f>
        <v>#REF!</v>
      </c>
      <c r="EV28" t="e">
        <f>IF(#REF!,"AAAAAH/S3pc=",0)</f>
        <v>#REF!</v>
      </c>
      <c r="EW28" t="e">
        <f>IF(#REF!,"AAAAAH/S3pg=",0)</f>
        <v>#REF!</v>
      </c>
      <c r="EX28" t="e">
        <f>IF(#REF!,"AAAAAH/S3pk=",0)</f>
        <v>#REF!</v>
      </c>
      <c r="EY28" t="e">
        <f>IF(#REF!,"AAAAAH/S3po=",0)</f>
        <v>#REF!</v>
      </c>
      <c r="EZ28" t="e">
        <f>IF(#REF!,"AAAAAH/S3ps=",0)</f>
        <v>#REF!</v>
      </c>
      <c r="FA28" t="e">
        <f>IF(#REF!,"AAAAAH/S3pw=",0)</f>
        <v>#REF!</v>
      </c>
      <c r="FB28" t="e">
        <f>IF(#REF!,"AAAAAH/S3p0=",0)</f>
        <v>#REF!</v>
      </c>
      <c r="FC28" t="e">
        <f>IF(#REF!,"AAAAAH/S3p4=",0)</f>
        <v>#REF!</v>
      </c>
      <c r="FD28" t="e">
        <f>IF(#REF!,"AAAAAH/S3p8=",0)</f>
        <v>#REF!</v>
      </c>
      <c r="FE28" t="e">
        <f>IF(#REF!,"AAAAAH/S3qA=",0)</f>
        <v>#REF!</v>
      </c>
      <c r="FF28" t="e">
        <f>IF(#REF!,"AAAAAH/S3qE=",0)</f>
        <v>#REF!</v>
      </c>
      <c r="FG28" t="e">
        <f>IF(#REF!,"AAAAAH/S3qI=",0)</f>
        <v>#REF!</v>
      </c>
      <c r="FH28" t="e">
        <f>IF(#REF!,"AAAAAH/S3qM=",0)</f>
        <v>#REF!</v>
      </c>
      <c r="FI28" t="e">
        <f>IF(#REF!,"AAAAAH/S3qQ=",0)</f>
        <v>#REF!</v>
      </c>
      <c r="FJ28" t="e">
        <f>IF(#REF!,"AAAAAH/S3qU=",0)</f>
        <v>#REF!</v>
      </c>
      <c r="FK28" t="e">
        <f>IF(#REF!,"AAAAAH/S3qY=",0)</f>
        <v>#REF!</v>
      </c>
      <c r="FL28" t="e">
        <f>IF(#REF!,"AAAAAH/S3qc=",0)</f>
        <v>#REF!</v>
      </c>
      <c r="FM28" t="e">
        <f>IF(#REF!,"AAAAAH/S3qg=",0)</f>
        <v>#REF!</v>
      </c>
      <c r="FN28" t="e">
        <f>IF(#REF!,"AAAAAH/S3qk=",0)</f>
        <v>#REF!</v>
      </c>
      <c r="FO28" t="e">
        <f>IF(#REF!,"AAAAAH/S3qo=",0)</f>
        <v>#REF!</v>
      </c>
      <c r="FP28" t="e">
        <f>IF(#REF!,"AAAAAH/S3qs=",0)</f>
        <v>#REF!</v>
      </c>
      <c r="FQ28" t="e">
        <f>IF(#REF!,"AAAAAH/S3qw=",0)</f>
        <v>#REF!</v>
      </c>
      <c r="FR28" t="e">
        <f>IF(#REF!,"AAAAAH/S3q0=",0)</f>
        <v>#REF!</v>
      </c>
      <c r="FS28" t="e">
        <f>IF(#REF!,"AAAAAH/S3q4=",0)</f>
        <v>#REF!</v>
      </c>
      <c r="FT28" t="e">
        <f>IF(#REF!,"AAAAAH/S3q8=",0)</f>
        <v>#REF!</v>
      </c>
      <c r="FU28" t="e">
        <f>IF(#REF!,"AAAAAH/S3rA=",0)</f>
        <v>#REF!</v>
      </c>
      <c r="FV28" t="e">
        <f>IF(#REF!,"AAAAAH/S3rE=",0)</f>
        <v>#REF!</v>
      </c>
      <c r="FW28" t="e">
        <f>IF(#REF!,"AAAAAH/S3rI=",0)</f>
        <v>#REF!</v>
      </c>
      <c r="FX28" t="e">
        <f>IF(#REF!,"AAAAAH/S3rM=",0)</f>
        <v>#REF!</v>
      </c>
      <c r="FY28" t="e">
        <f>IF(#REF!,"AAAAAH/S3rQ=",0)</f>
        <v>#REF!</v>
      </c>
      <c r="FZ28" t="e">
        <f>IF(#REF!,"AAAAAH/S3rU=",0)</f>
        <v>#REF!</v>
      </c>
      <c r="GA28" t="e">
        <f>IF(#REF!,"AAAAAH/S3rY=",0)</f>
        <v>#REF!</v>
      </c>
      <c r="GB28" t="e">
        <f>IF(#REF!,"AAAAAH/S3rc=",0)</f>
        <v>#REF!</v>
      </c>
      <c r="GC28" t="e">
        <f>IF(#REF!,"AAAAAH/S3rg=",0)</f>
        <v>#REF!</v>
      </c>
      <c r="GD28" t="e">
        <f>IF(#REF!,"AAAAAH/S3rk=",0)</f>
        <v>#REF!</v>
      </c>
      <c r="GE28" t="e">
        <f>IF(#REF!,"AAAAAH/S3ro=",0)</f>
        <v>#REF!</v>
      </c>
      <c r="GF28" t="e">
        <f>IF(#REF!,"AAAAAH/S3rs=",0)</f>
        <v>#REF!</v>
      </c>
      <c r="GG28" t="e">
        <f>IF(#REF!,"AAAAAH/S3rw=",0)</f>
        <v>#REF!</v>
      </c>
      <c r="GH28" t="e">
        <f>IF(#REF!,"AAAAAH/S3r0=",0)</f>
        <v>#REF!</v>
      </c>
      <c r="GI28" t="e">
        <f>IF(#REF!,"AAAAAH/S3r4=",0)</f>
        <v>#REF!</v>
      </c>
      <c r="GJ28" t="e">
        <f>IF(#REF!,"AAAAAH/S3r8=",0)</f>
        <v>#REF!</v>
      </c>
      <c r="GK28" t="e">
        <f>IF(#REF!,"AAAAAH/S3sA=",0)</f>
        <v>#REF!</v>
      </c>
      <c r="GL28" t="e">
        <f>IF(#REF!,"AAAAAH/S3sE=",0)</f>
        <v>#REF!</v>
      </c>
      <c r="GM28" t="e">
        <f>IF(#REF!,"AAAAAH/S3sI=",0)</f>
        <v>#REF!</v>
      </c>
      <c r="GN28" t="e">
        <f>IF(#REF!,"AAAAAH/S3sM=",0)</f>
        <v>#REF!</v>
      </c>
      <c r="GO28" t="e">
        <f>IF(#REF!,"AAAAAH/S3sQ=",0)</f>
        <v>#REF!</v>
      </c>
      <c r="GP28" t="e">
        <f>IF(#REF!,"AAAAAH/S3sU=",0)</f>
        <v>#REF!</v>
      </c>
      <c r="GQ28" t="e">
        <f>IF(#REF!,"AAAAAH/S3sY=",0)</f>
        <v>#REF!</v>
      </c>
      <c r="GR28" t="e">
        <f>IF(#REF!,"AAAAAH/S3sc=",0)</f>
        <v>#REF!</v>
      </c>
      <c r="GS28" t="e">
        <f>IF(#REF!,"AAAAAH/S3sg=",0)</f>
        <v>#REF!</v>
      </c>
      <c r="GT28" t="e">
        <f>IF(#REF!,"AAAAAH/S3sk=",0)</f>
        <v>#REF!</v>
      </c>
      <c r="GU28" t="e">
        <f>IF(#REF!,"AAAAAH/S3so=",0)</f>
        <v>#REF!</v>
      </c>
      <c r="GV28" t="e">
        <f>IF(#REF!,"AAAAAH/S3ss=",0)</f>
        <v>#REF!</v>
      </c>
      <c r="GW28" t="e">
        <f>IF(#REF!,"AAAAAH/S3sw=",0)</f>
        <v>#REF!</v>
      </c>
      <c r="GX28" t="e">
        <f>IF(#REF!,"AAAAAH/S3s0=",0)</f>
        <v>#REF!</v>
      </c>
      <c r="GY28" t="e">
        <f>IF(#REF!,"AAAAAH/S3s4=",0)</f>
        <v>#REF!</v>
      </c>
      <c r="GZ28" t="e">
        <f>IF(#REF!,"AAAAAH/S3s8=",0)</f>
        <v>#REF!</v>
      </c>
      <c r="HA28" t="e">
        <f>IF(#REF!,"AAAAAH/S3tA=",0)</f>
        <v>#REF!</v>
      </c>
      <c r="HB28" t="e">
        <f>IF(#REF!,"AAAAAH/S3tE=",0)</f>
        <v>#REF!</v>
      </c>
      <c r="HC28" t="e">
        <f>IF(#REF!,"AAAAAH/S3tI=",0)</f>
        <v>#REF!</v>
      </c>
      <c r="HD28" t="e">
        <f>IF(#REF!,"AAAAAH/S3tM=",0)</f>
        <v>#REF!</v>
      </c>
      <c r="HE28" t="e">
        <f>IF(#REF!,"AAAAAH/S3tQ=",0)</f>
        <v>#REF!</v>
      </c>
      <c r="HF28" t="e">
        <f>IF(#REF!,"AAAAAH/S3tU=",0)</f>
        <v>#REF!</v>
      </c>
      <c r="HG28" t="e">
        <f>IF(#REF!,"AAAAAH/S3tY=",0)</f>
        <v>#REF!</v>
      </c>
      <c r="HH28" t="e">
        <f>IF(#REF!,"AAAAAH/S3tc=",0)</f>
        <v>#REF!</v>
      </c>
      <c r="HI28" t="e">
        <f>IF(#REF!,"AAAAAH/S3tg=",0)</f>
        <v>#REF!</v>
      </c>
      <c r="HJ28" t="e">
        <f>IF(#REF!,"AAAAAH/S3tk=",0)</f>
        <v>#REF!</v>
      </c>
      <c r="HK28" t="e">
        <f>IF(#REF!,"AAAAAH/S3to=",0)</f>
        <v>#REF!</v>
      </c>
      <c r="HL28" t="e">
        <f>IF(#REF!,"AAAAAH/S3ts=",0)</f>
        <v>#REF!</v>
      </c>
      <c r="HM28" t="e">
        <f>IF(#REF!,"AAAAAH/S3tw=",0)</f>
        <v>#REF!</v>
      </c>
      <c r="HN28" t="e">
        <f>IF(#REF!,"AAAAAH/S3t0=",0)</f>
        <v>#REF!</v>
      </c>
      <c r="HO28" t="e">
        <f>IF(#REF!,"AAAAAH/S3t4=",0)</f>
        <v>#REF!</v>
      </c>
      <c r="HP28" t="e">
        <f>IF(#REF!,"AAAAAH/S3t8=",0)</f>
        <v>#REF!</v>
      </c>
      <c r="HQ28" t="e">
        <f>IF(#REF!,"AAAAAH/S3uA=",0)</f>
        <v>#REF!</v>
      </c>
      <c r="HR28" t="e">
        <f>IF(#REF!,"AAAAAH/S3uE=",0)</f>
        <v>#REF!</v>
      </c>
      <c r="HS28" t="e">
        <f>IF(#REF!,"AAAAAH/S3uI=",0)</f>
        <v>#REF!</v>
      </c>
      <c r="HT28" t="e">
        <f>IF(#REF!,"AAAAAH/S3uM=",0)</f>
        <v>#REF!</v>
      </c>
      <c r="HU28" t="e">
        <f>IF(#REF!,"AAAAAH/S3uQ=",0)</f>
        <v>#REF!</v>
      </c>
      <c r="HV28" t="e">
        <f>IF(#REF!,"AAAAAH/S3uU=",0)</f>
        <v>#REF!</v>
      </c>
      <c r="HW28" t="e">
        <f>IF(#REF!,"AAAAAH/S3uY=",0)</f>
        <v>#REF!</v>
      </c>
      <c r="HX28" t="e">
        <f>IF(#REF!,"AAAAAH/S3uc=",0)</f>
        <v>#REF!</v>
      </c>
      <c r="HY28" t="e">
        <f>IF(#REF!,"AAAAAH/S3ug=",0)</f>
        <v>#REF!</v>
      </c>
      <c r="HZ28" t="e">
        <f>IF(#REF!,"AAAAAH/S3uk=",0)</f>
        <v>#REF!</v>
      </c>
      <c r="IA28" t="e">
        <f>IF(#REF!,"AAAAAH/S3uo=",0)</f>
        <v>#REF!</v>
      </c>
      <c r="IB28" t="e">
        <f>IF(#REF!,"AAAAAH/S3us=",0)</f>
        <v>#REF!</v>
      </c>
      <c r="IC28" t="e">
        <f>IF(#REF!,"AAAAAH/S3uw=",0)</f>
        <v>#REF!</v>
      </c>
      <c r="ID28" t="e">
        <f>IF(#REF!,"AAAAAH/S3u0=",0)</f>
        <v>#REF!</v>
      </c>
      <c r="IE28" t="e">
        <f>IF(#REF!,"AAAAAH/S3u4=",0)</f>
        <v>#REF!</v>
      </c>
      <c r="IF28" t="e">
        <f>IF(#REF!,"AAAAAH/S3u8=",0)</f>
        <v>#REF!</v>
      </c>
      <c r="IG28" t="e">
        <f>IF(#REF!,"AAAAAH/S3vA=",0)</f>
        <v>#REF!</v>
      </c>
      <c r="IH28" t="e">
        <f>IF(#REF!,"AAAAAH/S3vE=",0)</f>
        <v>#REF!</v>
      </c>
      <c r="II28" t="e">
        <f>IF(#REF!,"AAAAAH/S3vI=",0)</f>
        <v>#REF!</v>
      </c>
      <c r="IJ28" t="e">
        <f>IF(#REF!,"AAAAAH/S3vM=",0)</f>
        <v>#REF!</v>
      </c>
      <c r="IK28" t="e">
        <f>IF(#REF!,"AAAAAH/S3vQ=",0)</f>
        <v>#REF!</v>
      </c>
      <c r="IL28" t="e">
        <f>IF(#REF!,"AAAAAH/S3vU=",0)</f>
        <v>#REF!</v>
      </c>
      <c r="IM28" t="e">
        <f>IF(#REF!,"AAAAAH/S3vY=",0)</f>
        <v>#REF!</v>
      </c>
      <c r="IN28" t="e">
        <f>IF(#REF!,"AAAAAH/S3vc=",0)</f>
        <v>#REF!</v>
      </c>
      <c r="IO28" t="e">
        <f>IF(#REF!,"AAAAAH/S3vg=",0)</f>
        <v>#REF!</v>
      </c>
      <c r="IP28" t="e">
        <f>IF(#REF!,"AAAAAH/S3vk=",0)</f>
        <v>#REF!</v>
      </c>
      <c r="IQ28" t="e">
        <f>IF(#REF!,"AAAAAH/S3vo=",0)</f>
        <v>#REF!</v>
      </c>
      <c r="IR28" t="e">
        <f>IF(#REF!,"AAAAAH/S3vs=",0)</f>
        <v>#REF!</v>
      </c>
      <c r="IS28" t="e">
        <f>IF(#REF!,"AAAAAH/S3vw=",0)</f>
        <v>#REF!</v>
      </c>
      <c r="IT28" t="e">
        <f>IF(#REF!,"AAAAAH/S3v0=",0)</f>
        <v>#REF!</v>
      </c>
      <c r="IU28" t="e">
        <f>IF(#REF!,"AAAAAH/S3v4=",0)</f>
        <v>#REF!</v>
      </c>
      <c r="IV28" t="e">
        <f>IF(#REF!,"AAAAAH/S3v8=",0)</f>
        <v>#REF!</v>
      </c>
    </row>
    <row r="29" spans="1:256">
      <c r="A29" t="e">
        <f>IF(#REF!,"AAAAAGVVuwA=",0)</f>
        <v>#REF!</v>
      </c>
      <c r="B29" t="e">
        <f>IF(#REF!,"AAAAAGVVuwE=",0)</f>
        <v>#REF!</v>
      </c>
      <c r="C29" t="e">
        <f>IF(#REF!,"AAAAAGVVuwI=",0)</f>
        <v>#REF!</v>
      </c>
      <c r="D29" t="e">
        <f>IF(#REF!,"AAAAAGVVuwM=",0)</f>
        <v>#REF!</v>
      </c>
      <c r="E29" t="e">
        <f>IF(#REF!,"AAAAAGVVuwQ=",0)</f>
        <v>#REF!</v>
      </c>
      <c r="F29" t="e">
        <f>IF(#REF!,"AAAAAGVVuwU=",0)</f>
        <v>#REF!</v>
      </c>
      <c r="G29" t="e">
        <f>IF(#REF!,"AAAAAGVVuwY=",0)</f>
        <v>#REF!</v>
      </c>
      <c r="H29" t="e">
        <f>IF(#REF!,"AAAAAGVVuwc=",0)</f>
        <v>#REF!</v>
      </c>
      <c r="I29" t="e">
        <f>IF(#REF!,"AAAAAGVVuwg=",0)</f>
        <v>#REF!</v>
      </c>
      <c r="J29" t="e">
        <f>IF(#REF!,"AAAAAGVVuwk=",0)</f>
        <v>#REF!</v>
      </c>
      <c r="K29" t="e">
        <f>IF(#REF!,"AAAAAGVVuwo=",0)</f>
        <v>#REF!</v>
      </c>
      <c r="L29" t="e">
        <f>IF(#REF!,"AAAAAGVVuws=",0)</f>
        <v>#REF!</v>
      </c>
      <c r="M29" t="e">
        <f>IF(#REF!,"AAAAAGVVuww=",0)</f>
        <v>#REF!</v>
      </c>
      <c r="N29" t="e">
        <f>IF(#REF!,"AAAAAGVVuw0=",0)</f>
        <v>#REF!</v>
      </c>
      <c r="O29" t="e">
        <f>IF(#REF!,"AAAAAGVVuw4=",0)</f>
        <v>#REF!</v>
      </c>
      <c r="P29" t="e">
        <f>IF(#REF!,"AAAAAGVVuw8=",0)</f>
        <v>#REF!</v>
      </c>
      <c r="Q29" t="e">
        <f>IF(#REF!,"AAAAAGVVuxA=",0)</f>
        <v>#REF!</v>
      </c>
      <c r="R29" t="e">
        <f>IF(#REF!,"AAAAAGVVuxE=",0)</f>
        <v>#REF!</v>
      </c>
      <c r="S29" t="e">
        <f>IF(#REF!,"AAAAAGVVuxI=",0)</f>
        <v>#REF!</v>
      </c>
      <c r="T29" t="e">
        <f>IF(#REF!,"AAAAAGVVuxM=",0)</f>
        <v>#REF!</v>
      </c>
      <c r="U29" t="e">
        <f>IF(#REF!,"AAAAAGVVuxQ=",0)</f>
        <v>#REF!</v>
      </c>
      <c r="V29" t="e">
        <f>IF(#REF!,"AAAAAGVVuxU=",0)</f>
        <v>#REF!</v>
      </c>
      <c r="W29" t="e">
        <f>IF(#REF!,"AAAAAGVVuxY=",0)</f>
        <v>#REF!</v>
      </c>
      <c r="X29" t="e">
        <f>IF(#REF!,"AAAAAGVVuxc=",0)</f>
        <v>#REF!</v>
      </c>
      <c r="Y29" t="e">
        <f>IF(#REF!,"AAAAAGVVuxg=",0)</f>
        <v>#REF!</v>
      </c>
      <c r="Z29" t="e">
        <f>IF(#REF!,"AAAAAGVVuxk=",0)</f>
        <v>#REF!</v>
      </c>
      <c r="AA29" t="e">
        <f>IF(#REF!,"AAAAAGVVuxo=",0)</f>
        <v>#REF!</v>
      </c>
      <c r="AB29" t="e">
        <f>IF(#REF!,"AAAAAGVVuxs=",0)</f>
        <v>#REF!</v>
      </c>
      <c r="AC29" t="e">
        <f>IF(#REF!,"AAAAAGVVuxw=",0)</f>
        <v>#REF!</v>
      </c>
      <c r="AD29" t="e">
        <f>IF(#REF!,"AAAAAGVVux0=",0)</f>
        <v>#REF!</v>
      </c>
      <c r="AE29" t="e">
        <f>IF(#REF!,"AAAAAGVVux4=",0)</f>
        <v>#REF!</v>
      </c>
      <c r="AF29" t="e">
        <f>IF(#REF!,"AAAAAGVVux8=",0)</f>
        <v>#REF!</v>
      </c>
      <c r="AG29" t="e">
        <f>IF(#REF!,"AAAAAGVVuyA=",0)</f>
        <v>#REF!</v>
      </c>
      <c r="AH29" t="e">
        <f>IF(#REF!,"AAAAAGVVuyE=",0)</f>
        <v>#REF!</v>
      </c>
      <c r="AI29" t="e">
        <f>IF(#REF!,"AAAAAGVVuyI=",0)</f>
        <v>#REF!</v>
      </c>
      <c r="AJ29" t="e">
        <f>IF(#REF!,"AAAAAGVVuyM=",0)</f>
        <v>#REF!</v>
      </c>
      <c r="AK29" t="e">
        <f>IF(#REF!,"AAAAAGVVuyQ=",0)</f>
        <v>#REF!</v>
      </c>
      <c r="AL29" t="e">
        <f>IF(#REF!,"AAAAAGVVuyU=",0)</f>
        <v>#REF!</v>
      </c>
      <c r="AM29" t="e">
        <f>IF(#REF!,"AAAAAGVVuyY=",0)</f>
        <v>#REF!</v>
      </c>
      <c r="AN29" t="e">
        <f>IF(#REF!,"AAAAAGVVuyc=",0)</f>
        <v>#REF!</v>
      </c>
      <c r="AO29" t="e">
        <f>IF(#REF!,"AAAAAGVVuyg=",0)</f>
        <v>#REF!</v>
      </c>
      <c r="AP29" t="e">
        <f>IF(#REF!,"AAAAAGVVuyk=",0)</f>
        <v>#REF!</v>
      </c>
      <c r="AQ29" t="e">
        <f>IF(#REF!,"AAAAAGVVuyo=",0)</f>
        <v>#REF!</v>
      </c>
      <c r="AR29" t="e">
        <f>IF(#REF!,"AAAAAGVVuys=",0)</f>
        <v>#REF!</v>
      </c>
      <c r="AS29" t="e">
        <f>IF(#REF!,"AAAAAGVVuyw=",0)</f>
        <v>#REF!</v>
      </c>
      <c r="AT29" t="e">
        <f>IF(#REF!,"AAAAAGVVuy0=",0)</f>
        <v>#REF!</v>
      </c>
      <c r="AU29" t="e">
        <f>IF(#REF!,"AAAAAGVVuy4=",0)</f>
        <v>#REF!</v>
      </c>
      <c r="AV29" t="e">
        <f>IF(#REF!,"AAAAAGVVuy8=",0)</f>
        <v>#REF!</v>
      </c>
      <c r="AW29" t="e">
        <f>IF(#REF!,"AAAAAGVVuzA=",0)</f>
        <v>#REF!</v>
      </c>
      <c r="AX29" t="e">
        <f>IF(#REF!,"AAAAAGVVuzE=",0)</f>
        <v>#REF!</v>
      </c>
      <c r="AY29" t="e">
        <f>IF(#REF!,"AAAAAGVVuzI=",0)</f>
        <v>#REF!</v>
      </c>
      <c r="AZ29" t="e">
        <f>IF(#REF!,"AAAAAGVVuzM=",0)</f>
        <v>#REF!</v>
      </c>
      <c r="BA29" t="e">
        <f>IF(#REF!,"AAAAAGVVuzQ=",0)</f>
        <v>#REF!</v>
      </c>
      <c r="BB29" t="e">
        <f>IF(#REF!,"AAAAAGVVuzU=",0)</f>
        <v>#REF!</v>
      </c>
      <c r="BC29" t="e">
        <f>IF(#REF!,"AAAAAGVVuzY=",0)</f>
        <v>#REF!</v>
      </c>
      <c r="BD29" t="e">
        <f>IF(#REF!,"AAAAAGVVuzc=",0)</f>
        <v>#REF!</v>
      </c>
      <c r="BE29" t="e">
        <f>IF(#REF!,"AAAAAGVVuzg=",0)</f>
        <v>#REF!</v>
      </c>
      <c r="BF29" t="e">
        <f>IF(#REF!,"AAAAAGVVuzk=",0)</f>
        <v>#REF!</v>
      </c>
      <c r="BG29" t="e">
        <f>IF(#REF!,"AAAAAGVVuzo=",0)</f>
        <v>#REF!</v>
      </c>
      <c r="BH29" t="e">
        <f>IF(#REF!,"AAAAAGVVuzs=",0)</f>
        <v>#REF!</v>
      </c>
      <c r="BI29" t="e">
        <f>IF(#REF!,"AAAAAGVVuzw=",0)</f>
        <v>#REF!</v>
      </c>
      <c r="BJ29" t="e">
        <f>IF(#REF!,"AAAAAGVVuz0=",0)</f>
        <v>#REF!</v>
      </c>
      <c r="BK29" t="e">
        <f>IF(#REF!,"AAAAAGVVuz4=",0)</f>
        <v>#REF!</v>
      </c>
      <c r="BL29" t="e">
        <f>AND(#REF!,"AAAAAGVVuz8=")</f>
        <v>#REF!</v>
      </c>
      <c r="BM29" t="e">
        <f>AND(#REF!,"AAAAAGVVu0A=")</f>
        <v>#REF!</v>
      </c>
      <c r="BN29" t="e">
        <f>AND(#REF!,"AAAAAGVVu0E=")</f>
        <v>#REF!</v>
      </c>
      <c r="BO29" t="e">
        <f>AND(#REF!,"AAAAAGVVu0I=")</f>
        <v>#REF!</v>
      </c>
      <c r="BP29" t="e">
        <f>AND(#REF!,"AAAAAGVVu0M=")</f>
        <v>#REF!</v>
      </c>
      <c r="BQ29" t="e">
        <f>AND(#REF!,"AAAAAGVVu0Q=")</f>
        <v>#REF!</v>
      </c>
      <c r="BR29" t="e">
        <f>AND(#REF!,"AAAAAGVVu0U=")</f>
        <v>#REF!</v>
      </c>
      <c r="BS29" t="e">
        <f>AND(#REF!,"AAAAAGVVu0Y=")</f>
        <v>#REF!</v>
      </c>
      <c r="BT29" t="e">
        <f>AND(#REF!,"AAAAAGVVu0c=")</f>
        <v>#REF!</v>
      </c>
      <c r="BU29" t="e">
        <f>AND(#REF!,"AAAAAGVVu0g=")</f>
        <v>#REF!</v>
      </c>
      <c r="BV29" t="e">
        <f>AND(#REF!,"AAAAAGVVu0k=")</f>
        <v>#REF!</v>
      </c>
      <c r="BW29" t="e">
        <f>AND(#REF!,"AAAAAGVVu0o=")</f>
        <v>#REF!</v>
      </c>
      <c r="BX29" t="e">
        <f>IF(#REF!,"AAAAAGVVu0s=",0)</f>
        <v>#REF!</v>
      </c>
      <c r="BY29" t="e">
        <f>AND(#REF!,"AAAAAGVVu0w=")</f>
        <v>#REF!</v>
      </c>
      <c r="BZ29" t="e">
        <f>AND(#REF!,"AAAAAGVVu00=")</f>
        <v>#REF!</v>
      </c>
      <c r="CA29" t="e">
        <f>AND(#REF!,"AAAAAGVVu04=")</f>
        <v>#REF!</v>
      </c>
      <c r="CB29" t="e">
        <f>AND(#REF!,"AAAAAGVVu08=")</f>
        <v>#REF!</v>
      </c>
      <c r="CC29" t="e">
        <f>AND(#REF!,"AAAAAGVVu1A=")</f>
        <v>#REF!</v>
      </c>
      <c r="CD29" t="e">
        <f>AND(#REF!,"AAAAAGVVu1E=")</f>
        <v>#REF!</v>
      </c>
      <c r="CE29" t="e">
        <f>AND(#REF!,"AAAAAGVVu1I=")</f>
        <v>#REF!</v>
      </c>
      <c r="CF29" t="e">
        <f>AND(#REF!,"AAAAAGVVu1M=")</f>
        <v>#REF!</v>
      </c>
      <c r="CG29" t="e">
        <f>AND(#REF!,"AAAAAGVVu1Q=")</f>
        <v>#REF!</v>
      </c>
      <c r="CH29" t="e">
        <f>AND(#REF!,"AAAAAGVVu1U=")</f>
        <v>#REF!</v>
      </c>
      <c r="CI29" t="e">
        <f>AND(#REF!,"AAAAAGVVu1Y=")</f>
        <v>#REF!</v>
      </c>
      <c r="CJ29" t="e">
        <f>AND(#REF!,"AAAAAGVVu1c=")</f>
        <v>#REF!</v>
      </c>
      <c r="CK29" t="e">
        <f>IF(#REF!,"AAAAAGVVu1g=",0)</f>
        <v>#REF!</v>
      </c>
      <c r="CL29" t="e">
        <f>AND(#REF!,"AAAAAGVVu1k=")</f>
        <v>#REF!</v>
      </c>
      <c r="CM29" t="e">
        <f>AND(#REF!,"AAAAAGVVu1o=")</f>
        <v>#REF!</v>
      </c>
      <c r="CN29" t="e">
        <f>AND(#REF!,"AAAAAGVVu1s=")</f>
        <v>#REF!</v>
      </c>
      <c r="CO29" t="e">
        <f>AND(#REF!,"AAAAAGVVu1w=")</f>
        <v>#REF!</v>
      </c>
      <c r="CP29" t="e">
        <f>AND(#REF!,"AAAAAGVVu10=")</f>
        <v>#REF!</v>
      </c>
      <c r="CQ29" t="e">
        <f>AND(#REF!,"AAAAAGVVu14=")</f>
        <v>#REF!</v>
      </c>
      <c r="CR29" t="e">
        <f>AND(#REF!,"AAAAAGVVu18=")</f>
        <v>#REF!</v>
      </c>
      <c r="CS29" t="e">
        <f>AND(#REF!,"AAAAAGVVu2A=")</f>
        <v>#REF!</v>
      </c>
      <c r="CT29" t="e">
        <f>AND(#REF!,"AAAAAGVVu2E=")</f>
        <v>#REF!</v>
      </c>
      <c r="CU29" t="e">
        <f>AND(#REF!,"AAAAAGVVu2I=")</f>
        <v>#REF!</v>
      </c>
      <c r="CV29" t="e">
        <f>AND(#REF!,"AAAAAGVVu2M=")</f>
        <v>#REF!</v>
      </c>
      <c r="CW29" t="e">
        <f>AND(#REF!,"AAAAAGVVu2Q=")</f>
        <v>#REF!</v>
      </c>
      <c r="CX29" t="e">
        <f>IF(#REF!,"AAAAAGVVu2U=",0)</f>
        <v>#REF!</v>
      </c>
      <c r="CY29" t="e">
        <f>AND(#REF!,"AAAAAGVVu2Y=")</f>
        <v>#REF!</v>
      </c>
      <c r="CZ29" t="e">
        <f>AND(#REF!,"AAAAAGVVu2c=")</f>
        <v>#REF!</v>
      </c>
      <c r="DA29" t="e">
        <f>AND(#REF!,"AAAAAGVVu2g=")</f>
        <v>#REF!</v>
      </c>
      <c r="DB29" t="e">
        <f>AND(#REF!,"AAAAAGVVu2k=")</f>
        <v>#REF!</v>
      </c>
      <c r="DC29" t="e">
        <f>AND(#REF!,"AAAAAGVVu2o=")</f>
        <v>#REF!</v>
      </c>
      <c r="DD29" t="e">
        <f>AND(#REF!,"AAAAAGVVu2s=")</f>
        <v>#REF!</v>
      </c>
      <c r="DE29" t="e">
        <f>AND(#REF!,"AAAAAGVVu2w=")</f>
        <v>#REF!</v>
      </c>
      <c r="DF29" t="e">
        <f>AND(#REF!,"AAAAAGVVu20=")</f>
        <v>#REF!</v>
      </c>
      <c r="DG29" t="e">
        <f>AND(#REF!,"AAAAAGVVu24=")</f>
        <v>#REF!</v>
      </c>
      <c r="DH29" t="e">
        <f>AND(#REF!,"AAAAAGVVu28=")</f>
        <v>#REF!</v>
      </c>
      <c r="DI29" t="e">
        <f>AND(#REF!,"AAAAAGVVu3A=")</f>
        <v>#REF!</v>
      </c>
      <c r="DJ29" t="e">
        <f>AND(#REF!,"AAAAAGVVu3E=")</f>
        <v>#REF!</v>
      </c>
      <c r="DK29" t="e">
        <f>IF(#REF!,"AAAAAGVVu3I=",0)</f>
        <v>#REF!</v>
      </c>
      <c r="DL29" t="e">
        <f>AND(#REF!,"AAAAAGVVu3M=")</f>
        <v>#REF!</v>
      </c>
      <c r="DM29" t="e">
        <f>AND(#REF!,"AAAAAGVVu3Q=")</f>
        <v>#REF!</v>
      </c>
      <c r="DN29" t="e">
        <f>AND(#REF!,"AAAAAGVVu3U=")</f>
        <v>#REF!</v>
      </c>
      <c r="DO29" t="e">
        <f>AND(#REF!,"AAAAAGVVu3Y=")</f>
        <v>#REF!</v>
      </c>
      <c r="DP29" t="e">
        <f>AND(#REF!,"AAAAAGVVu3c=")</f>
        <v>#REF!</v>
      </c>
      <c r="DQ29" t="e">
        <f>AND(#REF!,"AAAAAGVVu3g=")</f>
        <v>#REF!</v>
      </c>
      <c r="DR29" t="e">
        <f>AND(#REF!,"AAAAAGVVu3k=")</f>
        <v>#REF!</v>
      </c>
      <c r="DS29" t="e">
        <f>AND(#REF!,"AAAAAGVVu3o=")</f>
        <v>#REF!</v>
      </c>
      <c r="DT29" t="e">
        <f>AND(#REF!,"AAAAAGVVu3s=")</f>
        <v>#REF!</v>
      </c>
      <c r="DU29" t="e">
        <f>AND(#REF!,"AAAAAGVVu3w=")</f>
        <v>#REF!</v>
      </c>
      <c r="DV29" t="e">
        <f>AND(#REF!,"AAAAAGVVu30=")</f>
        <v>#REF!</v>
      </c>
      <c r="DW29" t="e">
        <f>AND(#REF!,"AAAAAGVVu34=")</f>
        <v>#REF!</v>
      </c>
      <c r="DX29" t="e">
        <f>IF(#REF!,"AAAAAGVVu38=",0)</f>
        <v>#REF!</v>
      </c>
      <c r="DY29" t="e">
        <f>AND(#REF!,"AAAAAGVVu4A=")</f>
        <v>#REF!</v>
      </c>
      <c r="DZ29" t="e">
        <f>AND(#REF!,"AAAAAGVVu4E=")</f>
        <v>#REF!</v>
      </c>
      <c r="EA29" t="e">
        <f>AND(#REF!,"AAAAAGVVu4I=")</f>
        <v>#REF!</v>
      </c>
      <c r="EB29" t="e">
        <f>AND(#REF!,"AAAAAGVVu4M=")</f>
        <v>#REF!</v>
      </c>
      <c r="EC29" t="e">
        <f>AND(#REF!,"AAAAAGVVu4Q=")</f>
        <v>#REF!</v>
      </c>
      <c r="ED29" t="e">
        <f>AND(#REF!,"AAAAAGVVu4U=")</f>
        <v>#REF!</v>
      </c>
      <c r="EE29" t="e">
        <f>AND(#REF!,"AAAAAGVVu4Y=")</f>
        <v>#REF!</v>
      </c>
      <c r="EF29" t="e">
        <f>AND(#REF!,"AAAAAGVVu4c=")</f>
        <v>#REF!</v>
      </c>
      <c r="EG29" t="e">
        <f>AND(#REF!,"AAAAAGVVu4g=")</f>
        <v>#REF!</v>
      </c>
      <c r="EH29" t="e">
        <f>AND(#REF!,"AAAAAGVVu4k=")</f>
        <v>#REF!</v>
      </c>
      <c r="EI29" t="e">
        <f>AND(#REF!,"AAAAAGVVu4o=")</f>
        <v>#REF!</v>
      </c>
      <c r="EJ29" t="e">
        <f>AND(#REF!,"AAAAAGVVu4s=")</f>
        <v>#REF!</v>
      </c>
      <c r="EK29" t="e">
        <f>IF(#REF!,"AAAAAGVVu4w=",0)</f>
        <v>#REF!</v>
      </c>
      <c r="EL29" t="e">
        <f>AND(#REF!,"AAAAAGVVu40=")</f>
        <v>#REF!</v>
      </c>
      <c r="EM29" t="e">
        <f>AND(#REF!,"AAAAAGVVu44=")</f>
        <v>#REF!</v>
      </c>
      <c r="EN29" t="e">
        <f>AND(#REF!,"AAAAAGVVu48=")</f>
        <v>#REF!</v>
      </c>
      <c r="EO29" t="e">
        <f>AND(#REF!,"AAAAAGVVu5A=")</f>
        <v>#REF!</v>
      </c>
      <c r="EP29" t="e">
        <f>AND(#REF!,"AAAAAGVVu5E=")</f>
        <v>#REF!</v>
      </c>
      <c r="EQ29" t="e">
        <f>AND(#REF!,"AAAAAGVVu5I=")</f>
        <v>#REF!</v>
      </c>
      <c r="ER29" t="e">
        <f>AND(#REF!,"AAAAAGVVu5M=")</f>
        <v>#REF!</v>
      </c>
      <c r="ES29" t="e">
        <f>AND(#REF!,"AAAAAGVVu5Q=")</f>
        <v>#REF!</v>
      </c>
      <c r="ET29" t="e">
        <f>AND(#REF!,"AAAAAGVVu5U=")</f>
        <v>#REF!</v>
      </c>
      <c r="EU29" t="e">
        <f>AND(#REF!,"AAAAAGVVu5Y=")</f>
        <v>#REF!</v>
      </c>
      <c r="EV29" t="e">
        <f>AND(#REF!,"AAAAAGVVu5c=")</f>
        <v>#REF!</v>
      </c>
      <c r="EW29" t="e">
        <f>AND(#REF!,"AAAAAGVVu5g=")</f>
        <v>#REF!</v>
      </c>
      <c r="EX29" t="e">
        <f>IF(#REF!,"AAAAAGVVu5k=",0)</f>
        <v>#REF!</v>
      </c>
      <c r="EY29" t="e">
        <f>AND(#REF!,"AAAAAGVVu5o=")</f>
        <v>#REF!</v>
      </c>
      <c r="EZ29" t="e">
        <f>AND(#REF!,"AAAAAGVVu5s=")</f>
        <v>#REF!</v>
      </c>
      <c r="FA29" t="e">
        <f>AND(#REF!,"AAAAAGVVu5w=")</f>
        <v>#REF!</v>
      </c>
      <c r="FB29" t="e">
        <f>AND(#REF!,"AAAAAGVVu50=")</f>
        <v>#REF!</v>
      </c>
      <c r="FC29" t="e">
        <f>AND(#REF!,"AAAAAGVVu54=")</f>
        <v>#REF!</v>
      </c>
      <c r="FD29" t="e">
        <f>AND(#REF!,"AAAAAGVVu58=")</f>
        <v>#REF!</v>
      </c>
      <c r="FE29" t="e">
        <f>AND(#REF!,"AAAAAGVVu6A=")</f>
        <v>#REF!</v>
      </c>
      <c r="FF29" t="e">
        <f>AND(#REF!,"AAAAAGVVu6E=")</f>
        <v>#REF!</v>
      </c>
      <c r="FG29" t="e">
        <f>AND(#REF!,"AAAAAGVVu6I=")</f>
        <v>#REF!</v>
      </c>
      <c r="FH29" t="e">
        <f>AND(#REF!,"AAAAAGVVu6M=")</f>
        <v>#REF!</v>
      </c>
      <c r="FI29" t="e">
        <f>AND(#REF!,"AAAAAGVVu6Q=")</f>
        <v>#REF!</v>
      </c>
      <c r="FJ29" t="e">
        <f>AND(#REF!,"AAAAAGVVu6U=")</f>
        <v>#REF!</v>
      </c>
      <c r="FK29" t="e">
        <f>IF(#REF!,"AAAAAGVVu6Y=",0)</f>
        <v>#REF!</v>
      </c>
      <c r="FL29" t="e">
        <f>AND(#REF!,"AAAAAGVVu6c=")</f>
        <v>#REF!</v>
      </c>
      <c r="FM29" t="e">
        <f>AND(#REF!,"AAAAAGVVu6g=")</f>
        <v>#REF!</v>
      </c>
      <c r="FN29" t="e">
        <f>AND(#REF!,"AAAAAGVVu6k=")</f>
        <v>#REF!</v>
      </c>
      <c r="FO29" t="e">
        <f>AND(#REF!,"AAAAAGVVu6o=")</f>
        <v>#REF!</v>
      </c>
      <c r="FP29" t="e">
        <f>AND(#REF!,"AAAAAGVVu6s=")</f>
        <v>#REF!</v>
      </c>
      <c r="FQ29" t="e">
        <f>AND(#REF!,"AAAAAGVVu6w=")</f>
        <v>#REF!</v>
      </c>
      <c r="FR29" t="e">
        <f>AND(#REF!,"AAAAAGVVu60=")</f>
        <v>#REF!</v>
      </c>
      <c r="FS29" t="e">
        <f>AND(#REF!,"AAAAAGVVu64=")</f>
        <v>#REF!</v>
      </c>
      <c r="FT29" t="e">
        <f>AND(#REF!,"AAAAAGVVu68=")</f>
        <v>#REF!</v>
      </c>
      <c r="FU29" t="e">
        <f>AND(#REF!,"AAAAAGVVu7A=")</f>
        <v>#REF!</v>
      </c>
      <c r="FV29" t="e">
        <f>AND(#REF!,"AAAAAGVVu7E=")</f>
        <v>#REF!</v>
      </c>
      <c r="FW29" t="e">
        <f>AND(#REF!,"AAAAAGVVu7I=")</f>
        <v>#REF!</v>
      </c>
      <c r="FX29" t="e">
        <f>IF(#REF!,"AAAAAGVVu7M=",0)</f>
        <v>#REF!</v>
      </c>
      <c r="FY29" t="e">
        <f>AND(#REF!,"AAAAAGVVu7Q=")</f>
        <v>#REF!</v>
      </c>
      <c r="FZ29" t="e">
        <f>AND(#REF!,"AAAAAGVVu7U=")</f>
        <v>#REF!</v>
      </c>
      <c r="GA29" t="e">
        <f>AND(#REF!,"AAAAAGVVu7Y=")</f>
        <v>#REF!</v>
      </c>
      <c r="GB29" t="e">
        <f>AND(#REF!,"AAAAAGVVu7c=")</f>
        <v>#REF!</v>
      </c>
      <c r="GC29" t="e">
        <f>AND(#REF!,"AAAAAGVVu7g=")</f>
        <v>#REF!</v>
      </c>
      <c r="GD29" t="e">
        <f>AND(#REF!,"AAAAAGVVu7k=")</f>
        <v>#REF!</v>
      </c>
      <c r="GE29" t="e">
        <f>AND(#REF!,"AAAAAGVVu7o=")</f>
        <v>#REF!</v>
      </c>
      <c r="GF29" t="e">
        <f>AND(#REF!,"AAAAAGVVu7s=")</f>
        <v>#REF!</v>
      </c>
      <c r="GG29" t="e">
        <f>AND(#REF!,"AAAAAGVVu7w=")</f>
        <v>#REF!</v>
      </c>
      <c r="GH29" t="e">
        <f>AND(#REF!,"AAAAAGVVu70=")</f>
        <v>#REF!</v>
      </c>
      <c r="GI29" t="e">
        <f>AND(#REF!,"AAAAAGVVu74=")</f>
        <v>#REF!</v>
      </c>
      <c r="GJ29" t="e">
        <f>AND(#REF!,"AAAAAGVVu78=")</f>
        <v>#REF!</v>
      </c>
      <c r="GK29" t="e">
        <f>IF(#REF!,"AAAAAGVVu8A=",0)</f>
        <v>#REF!</v>
      </c>
      <c r="GL29" t="e">
        <f>AND(#REF!,"AAAAAGVVu8E=")</f>
        <v>#REF!</v>
      </c>
      <c r="GM29" t="e">
        <f>AND(#REF!,"AAAAAGVVu8I=")</f>
        <v>#REF!</v>
      </c>
      <c r="GN29" t="e">
        <f>AND(#REF!,"AAAAAGVVu8M=")</f>
        <v>#REF!</v>
      </c>
      <c r="GO29" t="e">
        <f>AND(#REF!,"AAAAAGVVu8Q=")</f>
        <v>#REF!</v>
      </c>
      <c r="GP29" t="e">
        <f>AND(#REF!,"AAAAAGVVu8U=")</f>
        <v>#REF!</v>
      </c>
      <c r="GQ29" t="e">
        <f>AND(#REF!,"AAAAAGVVu8Y=")</f>
        <v>#REF!</v>
      </c>
      <c r="GR29" t="e">
        <f>AND(#REF!,"AAAAAGVVu8c=")</f>
        <v>#REF!</v>
      </c>
      <c r="GS29" t="e">
        <f>AND(#REF!,"AAAAAGVVu8g=")</f>
        <v>#REF!</v>
      </c>
      <c r="GT29" t="e">
        <f>AND(#REF!,"AAAAAGVVu8k=")</f>
        <v>#REF!</v>
      </c>
      <c r="GU29" t="e">
        <f>AND(#REF!,"AAAAAGVVu8o=")</f>
        <v>#REF!</v>
      </c>
      <c r="GV29" t="e">
        <f>AND(#REF!,"AAAAAGVVu8s=")</f>
        <v>#REF!</v>
      </c>
      <c r="GW29" t="e">
        <f>AND(#REF!,"AAAAAGVVu8w=")</f>
        <v>#REF!</v>
      </c>
      <c r="GX29" t="e">
        <f>IF(#REF!,"AAAAAGVVu80=",0)</f>
        <v>#REF!</v>
      </c>
      <c r="GY29" t="e">
        <f>AND(#REF!,"AAAAAGVVu84=")</f>
        <v>#REF!</v>
      </c>
      <c r="GZ29" t="e">
        <f>AND(#REF!,"AAAAAGVVu88=")</f>
        <v>#REF!</v>
      </c>
      <c r="HA29" t="e">
        <f>AND(#REF!,"AAAAAGVVu9A=")</f>
        <v>#REF!</v>
      </c>
      <c r="HB29" t="e">
        <f>AND(#REF!,"AAAAAGVVu9E=")</f>
        <v>#REF!</v>
      </c>
      <c r="HC29" t="e">
        <f>AND(#REF!,"AAAAAGVVu9I=")</f>
        <v>#REF!</v>
      </c>
      <c r="HD29" t="e">
        <f>AND(#REF!,"AAAAAGVVu9M=")</f>
        <v>#REF!</v>
      </c>
      <c r="HE29" t="e">
        <f>AND(#REF!,"AAAAAGVVu9Q=")</f>
        <v>#REF!</v>
      </c>
      <c r="HF29" t="e">
        <f>AND(#REF!,"AAAAAGVVu9U=")</f>
        <v>#REF!</v>
      </c>
      <c r="HG29" t="e">
        <f>AND(#REF!,"AAAAAGVVu9Y=")</f>
        <v>#REF!</v>
      </c>
      <c r="HH29" t="e">
        <f>AND(#REF!,"AAAAAGVVu9c=")</f>
        <v>#REF!</v>
      </c>
      <c r="HI29" t="e">
        <f>AND(#REF!,"AAAAAGVVu9g=")</f>
        <v>#REF!</v>
      </c>
      <c r="HJ29" t="e">
        <f>AND(#REF!,"AAAAAGVVu9k=")</f>
        <v>#REF!</v>
      </c>
      <c r="HK29" t="e">
        <f>IF(#REF!,"AAAAAGVVu9o=",0)</f>
        <v>#REF!</v>
      </c>
      <c r="HL29" t="e">
        <f>AND(#REF!,"AAAAAGVVu9s=")</f>
        <v>#REF!</v>
      </c>
      <c r="HM29" t="e">
        <f>AND(#REF!,"AAAAAGVVu9w=")</f>
        <v>#REF!</v>
      </c>
      <c r="HN29" t="e">
        <f>AND(#REF!,"AAAAAGVVu90=")</f>
        <v>#REF!</v>
      </c>
      <c r="HO29" t="e">
        <f>AND(#REF!,"AAAAAGVVu94=")</f>
        <v>#REF!</v>
      </c>
      <c r="HP29" t="e">
        <f>AND(#REF!,"AAAAAGVVu98=")</f>
        <v>#REF!</v>
      </c>
      <c r="HQ29" t="e">
        <f>AND(#REF!,"AAAAAGVVu+A=")</f>
        <v>#REF!</v>
      </c>
      <c r="HR29" t="e">
        <f>AND(#REF!,"AAAAAGVVu+E=")</f>
        <v>#REF!</v>
      </c>
      <c r="HS29" t="e">
        <f>AND(#REF!,"AAAAAGVVu+I=")</f>
        <v>#REF!</v>
      </c>
      <c r="HT29" t="e">
        <f>AND(#REF!,"AAAAAGVVu+M=")</f>
        <v>#REF!</v>
      </c>
      <c r="HU29" t="e">
        <f>AND(#REF!,"AAAAAGVVu+Q=")</f>
        <v>#REF!</v>
      </c>
      <c r="HV29" t="e">
        <f>AND(#REF!,"AAAAAGVVu+U=")</f>
        <v>#REF!</v>
      </c>
      <c r="HW29" t="e">
        <f>AND(#REF!,"AAAAAGVVu+Y=")</f>
        <v>#REF!</v>
      </c>
      <c r="HX29" t="e">
        <f>IF(#REF!,"AAAAAGVVu+c=",0)</f>
        <v>#REF!</v>
      </c>
      <c r="HY29" t="e">
        <f>AND(#REF!,"AAAAAGVVu+g=")</f>
        <v>#REF!</v>
      </c>
      <c r="HZ29" t="e">
        <f>AND(#REF!,"AAAAAGVVu+k=")</f>
        <v>#REF!</v>
      </c>
      <c r="IA29" t="e">
        <f>AND(#REF!,"AAAAAGVVu+o=")</f>
        <v>#REF!</v>
      </c>
      <c r="IB29" t="e">
        <f>AND(#REF!,"AAAAAGVVu+s=")</f>
        <v>#REF!</v>
      </c>
      <c r="IC29" t="e">
        <f>AND(#REF!,"AAAAAGVVu+w=")</f>
        <v>#REF!</v>
      </c>
      <c r="ID29" t="e">
        <f>AND(#REF!,"AAAAAGVVu+0=")</f>
        <v>#REF!</v>
      </c>
      <c r="IE29" t="e">
        <f>AND(#REF!,"AAAAAGVVu+4=")</f>
        <v>#REF!</v>
      </c>
      <c r="IF29" t="e">
        <f>AND(#REF!,"AAAAAGVVu+8=")</f>
        <v>#REF!</v>
      </c>
      <c r="IG29" t="e">
        <f>AND(#REF!,"AAAAAGVVu/A=")</f>
        <v>#REF!</v>
      </c>
      <c r="IH29" t="e">
        <f>AND(#REF!,"AAAAAGVVu/E=")</f>
        <v>#REF!</v>
      </c>
      <c r="II29" t="e">
        <f>AND(#REF!,"AAAAAGVVu/I=")</f>
        <v>#REF!</v>
      </c>
      <c r="IJ29" t="e">
        <f>AND(#REF!,"AAAAAGVVu/M=")</f>
        <v>#REF!</v>
      </c>
      <c r="IK29" t="e">
        <f>IF(#REF!,"AAAAAGVVu/Q=",0)</f>
        <v>#REF!</v>
      </c>
      <c r="IL29" t="e">
        <f>AND(#REF!,"AAAAAGVVu/U=")</f>
        <v>#REF!</v>
      </c>
      <c r="IM29" t="e">
        <f>AND(#REF!,"AAAAAGVVu/Y=")</f>
        <v>#REF!</v>
      </c>
      <c r="IN29" t="e">
        <f>AND(#REF!,"AAAAAGVVu/c=")</f>
        <v>#REF!</v>
      </c>
      <c r="IO29" t="e">
        <f>AND(#REF!,"AAAAAGVVu/g=")</f>
        <v>#REF!</v>
      </c>
      <c r="IP29" t="e">
        <f>AND(#REF!,"AAAAAGVVu/k=")</f>
        <v>#REF!</v>
      </c>
      <c r="IQ29" t="e">
        <f>AND(#REF!,"AAAAAGVVu/o=")</f>
        <v>#REF!</v>
      </c>
      <c r="IR29" t="e">
        <f>AND(#REF!,"AAAAAGVVu/s=")</f>
        <v>#REF!</v>
      </c>
      <c r="IS29" t="e">
        <f>AND(#REF!,"AAAAAGVVu/w=")</f>
        <v>#REF!</v>
      </c>
      <c r="IT29" t="e">
        <f>AND(#REF!,"AAAAAGVVu/0=")</f>
        <v>#REF!</v>
      </c>
      <c r="IU29" t="e">
        <f>AND(#REF!,"AAAAAGVVu/4=")</f>
        <v>#REF!</v>
      </c>
      <c r="IV29" t="e">
        <f>AND(#REF!,"AAAAAGVVu/8=")</f>
        <v>#REF!</v>
      </c>
    </row>
    <row r="30" spans="1:256">
      <c r="A30" t="e">
        <f>AND(#REF!,"AAAAAHm3ewA=")</f>
        <v>#REF!</v>
      </c>
      <c r="B30" t="e">
        <f>IF(#REF!,"AAAAAHm3ewE=",0)</f>
        <v>#REF!</v>
      </c>
      <c r="C30" t="e">
        <f>AND(#REF!,"AAAAAHm3ewI=")</f>
        <v>#REF!</v>
      </c>
      <c r="D30" t="e">
        <f>AND(#REF!,"AAAAAHm3ewM=")</f>
        <v>#REF!</v>
      </c>
      <c r="E30" t="e">
        <f>AND(#REF!,"AAAAAHm3ewQ=")</f>
        <v>#REF!</v>
      </c>
      <c r="F30" t="e">
        <f>AND(#REF!,"AAAAAHm3ewU=")</f>
        <v>#REF!</v>
      </c>
      <c r="G30" t="e">
        <f>AND(#REF!,"AAAAAHm3ewY=")</f>
        <v>#REF!</v>
      </c>
      <c r="H30" t="e">
        <f>AND(#REF!,"AAAAAHm3ewc=")</f>
        <v>#REF!</v>
      </c>
      <c r="I30" t="e">
        <f>AND(#REF!,"AAAAAHm3ewg=")</f>
        <v>#REF!</v>
      </c>
      <c r="J30" t="e">
        <f>AND(#REF!,"AAAAAHm3ewk=")</f>
        <v>#REF!</v>
      </c>
      <c r="K30" t="e">
        <f>AND(#REF!,"AAAAAHm3ewo=")</f>
        <v>#REF!</v>
      </c>
      <c r="L30" t="e">
        <f>AND(#REF!,"AAAAAHm3ews=")</f>
        <v>#REF!</v>
      </c>
      <c r="M30" t="e">
        <f>AND(#REF!,"AAAAAHm3eww=")</f>
        <v>#REF!</v>
      </c>
      <c r="N30" t="e">
        <f>AND(#REF!,"AAAAAHm3ew0=")</f>
        <v>#REF!</v>
      </c>
      <c r="O30" t="e">
        <f>IF(#REF!,"AAAAAHm3ew4=",0)</f>
        <v>#REF!</v>
      </c>
      <c r="P30" t="e">
        <f>AND(#REF!,"AAAAAHm3ew8=")</f>
        <v>#REF!</v>
      </c>
      <c r="Q30" t="e">
        <f>AND(#REF!,"AAAAAHm3exA=")</f>
        <v>#REF!</v>
      </c>
      <c r="R30" t="e">
        <f>AND(#REF!,"AAAAAHm3exE=")</f>
        <v>#REF!</v>
      </c>
      <c r="S30" t="e">
        <f>AND(#REF!,"AAAAAHm3exI=")</f>
        <v>#REF!</v>
      </c>
      <c r="T30" t="e">
        <f>AND(#REF!,"AAAAAHm3exM=")</f>
        <v>#REF!</v>
      </c>
      <c r="U30" t="e">
        <f>AND(#REF!,"AAAAAHm3exQ=")</f>
        <v>#REF!</v>
      </c>
      <c r="V30" t="e">
        <f>AND(#REF!,"AAAAAHm3exU=")</f>
        <v>#REF!</v>
      </c>
      <c r="W30" t="e">
        <f>AND(#REF!,"AAAAAHm3exY=")</f>
        <v>#REF!</v>
      </c>
      <c r="X30" t="e">
        <f>AND(#REF!,"AAAAAHm3exc=")</f>
        <v>#REF!</v>
      </c>
      <c r="Y30" t="e">
        <f>AND(#REF!,"AAAAAHm3exg=")</f>
        <v>#REF!</v>
      </c>
      <c r="Z30" t="e">
        <f>AND(#REF!,"AAAAAHm3exk=")</f>
        <v>#REF!</v>
      </c>
      <c r="AA30" t="e">
        <f>AND(#REF!,"AAAAAHm3exo=")</f>
        <v>#REF!</v>
      </c>
      <c r="AB30" t="e">
        <f>IF(#REF!,"AAAAAHm3exs=",0)</f>
        <v>#REF!</v>
      </c>
      <c r="AC30" t="e">
        <f>AND(#REF!,"AAAAAHm3exw=")</f>
        <v>#REF!</v>
      </c>
      <c r="AD30" t="e">
        <f>AND(#REF!,"AAAAAHm3ex0=")</f>
        <v>#REF!</v>
      </c>
      <c r="AE30" t="e">
        <f>AND(#REF!,"AAAAAHm3ex4=")</f>
        <v>#REF!</v>
      </c>
      <c r="AF30" t="e">
        <f>AND(#REF!,"AAAAAHm3ex8=")</f>
        <v>#REF!</v>
      </c>
      <c r="AG30" t="e">
        <f>AND(#REF!,"AAAAAHm3eyA=")</f>
        <v>#REF!</v>
      </c>
      <c r="AH30" t="e">
        <f>AND(#REF!,"AAAAAHm3eyE=")</f>
        <v>#REF!</v>
      </c>
      <c r="AI30" t="e">
        <f>AND(#REF!,"AAAAAHm3eyI=")</f>
        <v>#REF!</v>
      </c>
      <c r="AJ30" t="e">
        <f>AND(#REF!,"AAAAAHm3eyM=")</f>
        <v>#REF!</v>
      </c>
      <c r="AK30" t="e">
        <f>AND(#REF!,"AAAAAHm3eyQ=")</f>
        <v>#REF!</v>
      </c>
      <c r="AL30" t="e">
        <f>AND(#REF!,"AAAAAHm3eyU=")</f>
        <v>#REF!</v>
      </c>
      <c r="AM30" t="e">
        <f>AND(#REF!,"AAAAAHm3eyY=")</f>
        <v>#REF!</v>
      </c>
      <c r="AN30" t="e">
        <f>AND(#REF!,"AAAAAHm3eyc=")</f>
        <v>#REF!</v>
      </c>
      <c r="AO30" t="e">
        <f>IF(#REF!,"AAAAAHm3eyg=",0)</f>
        <v>#REF!</v>
      </c>
      <c r="AP30" t="e">
        <f>AND(#REF!,"AAAAAHm3eyk=")</f>
        <v>#REF!</v>
      </c>
      <c r="AQ30" t="e">
        <f>AND(#REF!,"AAAAAHm3eyo=")</f>
        <v>#REF!</v>
      </c>
      <c r="AR30" t="e">
        <f>AND(#REF!,"AAAAAHm3eys=")</f>
        <v>#REF!</v>
      </c>
      <c r="AS30" t="e">
        <f>AND(#REF!,"AAAAAHm3eyw=")</f>
        <v>#REF!</v>
      </c>
      <c r="AT30" t="e">
        <f>AND(#REF!,"AAAAAHm3ey0=")</f>
        <v>#REF!</v>
      </c>
      <c r="AU30" t="e">
        <f>AND(#REF!,"AAAAAHm3ey4=")</f>
        <v>#REF!</v>
      </c>
      <c r="AV30" t="e">
        <f>AND(#REF!,"AAAAAHm3ey8=")</f>
        <v>#REF!</v>
      </c>
      <c r="AW30" t="e">
        <f>AND(#REF!,"AAAAAHm3ezA=")</f>
        <v>#REF!</v>
      </c>
      <c r="AX30" t="e">
        <f>AND(#REF!,"AAAAAHm3ezE=")</f>
        <v>#REF!</v>
      </c>
      <c r="AY30" t="e">
        <f>AND(#REF!,"AAAAAHm3ezI=")</f>
        <v>#REF!</v>
      </c>
      <c r="AZ30" t="e">
        <f>AND(#REF!,"AAAAAHm3ezM=")</f>
        <v>#REF!</v>
      </c>
      <c r="BA30" t="e">
        <f>AND(#REF!,"AAAAAHm3ezQ=")</f>
        <v>#REF!</v>
      </c>
      <c r="BB30" t="e">
        <f>IF(#REF!,"AAAAAHm3ezU=",0)</f>
        <v>#REF!</v>
      </c>
      <c r="BC30" t="e">
        <f>AND(#REF!,"AAAAAHm3ezY=")</f>
        <v>#REF!</v>
      </c>
      <c r="BD30" t="e">
        <f>AND(#REF!,"AAAAAHm3ezc=")</f>
        <v>#REF!</v>
      </c>
      <c r="BE30" t="e">
        <f>AND(#REF!,"AAAAAHm3ezg=")</f>
        <v>#REF!</v>
      </c>
      <c r="BF30" t="e">
        <f>AND(#REF!,"AAAAAHm3ezk=")</f>
        <v>#REF!</v>
      </c>
      <c r="BG30" t="e">
        <f>AND(#REF!,"AAAAAHm3ezo=")</f>
        <v>#REF!</v>
      </c>
      <c r="BH30" t="e">
        <f>AND(#REF!,"AAAAAHm3ezs=")</f>
        <v>#REF!</v>
      </c>
      <c r="BI30" t="e">
        <f>AND(#REF!,"AAAAAHm3ezw=")</f>
        <v>#REF!</v>
      </c>
      <c r="BJ30" t="e">
        <f>AND(#REF!,"AAAAAHm3ez0=")</f>
        <v>#REF!</v>
      </c>
      <c r="BK30" t="e">
        <f>AND(#REF!,"AAAAAHm3ez4=")</f>
        <v>#REF!</v>
      </c>
      <c r="BL30" t="e">
        <f>AND(#REF!,"AAAAAHm3ez8=")</f>
        <v>#REF!</v>
      </c>
      <c r="BM30" t="e">
        <f>AND(#REF!,"AAAAAHm3e0A=")</f>
        <v>#REF!</v>
      </c>
      <c r="BN30" t="e">
        <f>AND(#REF!,"AAAAAHm3e0E=")</f>
        <v>#REF!</v>
      </c>
      <c r="BO30" t="e">
        <f>IF(#REF!,"AAAAAHm3e0I=",0)</f>
        <v>#REF!</v>
      </c>
      <c r="BP30" t="e">
        <f>AND(#REF!,"AAAAAHm3e0M=")</f>
        <v>#REF!</v>
      </c>
      <c r="BQ30" t="e">
        <f>AND(#REF!,"AAAAAHm3e0Q=")</f>
        <v>#REF!</v>
      </c>
      <c r="BR30" t="e">
        <f>AND(#REF!,"AAAAAHm3e0U=")</f>
        <v>#REF!</v>
      </c>
      <c r="BS30" t="e">
        <f>AND(#REF!,"AAAAAHm3e0Y=")</f>
        <v>#REF!</v>
      </c>
      <c r="BT30" t="e">
        <f>AND(#REF!,"AAAAAHm3e0c=")</f>
        <v>#REF!</v>
      </c>
      <c r="BU30" t="e">
        <f>AND(#REF!,"AAAAAHm3e0g=")</f>
        <v>#REF!</v>
      </c>
      <c r="BV30" t="e">
        <f>AND(#REF!,"AAAAAHm3e0k=")</f>
        <v>#REF!</v>
      </c>
      <c r="BW30" t="e">
        <f>AND(#REF!,"AAAAAHm3e0o=")</f>
        <v>#REF!</v>
      </c>
      <c r="BX30" t="e">
        <f>AND(#REF!,"AAAAAHm3e0s=")</f>
        <v>#REF!</v>
      </c>
      <c r="BY30" t="e">
        <f>AND(#REF!,"AAAAAHm3e0w=")</f>
        <v>#REF!</v>
      </c>
      <c r="BZ30" t="e">
        <f>AND(#REF!,"AAAAAHm3e00=")</f>
        <v>#REF!</v>
      </c>
      <c r="CA30" t="e">
        <f>AND(#REF!,"AAAAAHm3e04=")</f>
        <v>#REF!</v>
      </c>
      <c r="CB30" t="e">
        <f>IF(#REF!,"AAAAAHm3e08=",0)</f>
        <v>#REF!</v>
      </c>
      <c r="CC30" t="e">
        <f>AND(#REF!,"AAAAAHm3e1A=")</f>
        <v>#REF!</v>
      </c>
      <c r="CD30" t="e">
        <f>AND(#REF!,"AAAAAHm3e1E=")</f>
        <v>#REF!</v>
      </c>
      <c r="CE30" t="e">
        <f>AND(#REF!,"AAAAAHm3e1I=")</f>
        <v>#REF!</v>
      </c>
      <c r="CF30" t="e">
        <f>AND(#REF!,"AAAAAHm3e1M=")</f>
        <v>#REF!</v>
      </c>
      <c r="CG30" t="e">
        <f>AND(#REF!,"AAAAAHm3e1Q=")</f>
        <v>#REF!</v>
      </c>
      <c r="CH30" t="e">
        <f>AND(#REF!,"AAAAAHm3e1U=")</f>
        <v>#REF!</v>
      </c>
      <c r="CI30" t="e">
        <f>AND(#REF!,"AAAAAHm3e1Y=")</f>
        <v>#REF!</v>
      </c>
      <c r="CJ30" t="e">
        <f>AND(#REF!,"AAAAAHm3e1c=")</f>
        <v>#REF!</v>
      </c>
      <c r="CK30" t="e">
        <f>AND(#REF!,"AAAAAHm3e1g=")</f>
        <v>#REF!</v>
      </c>
      <c r="CL30" t="e">
        <f>AND(#REF!,"AAAAAHm3e1k=")</f>
        <v>#REF!</v>
      </c>
      <c r="CM30" t="e">
        <f>AND(#REF!,"AAAAAHm3e1o=")</f>
        <v>#REF!</v>
      </c>
      <c r="CN30" t="e">
        <f>AND(#REF!,"AAAAAHm3e1s=")</f>
        <v>#REF!</v>
      </c>
      <c r="CO30" t="e">
        <f>IF(#REF!,"AAAAAHm3e1w=",0)</f>
        <v>#REF!</v>
      </c>
      <c r="CP30" t="e">
        <f>AND(#REF!,"AAAAAHm3e10=")</f>
        <v>#REF!</v>
      </c>
      <c r="CQ30" t="e">
        <f>AND(#REF!,"AAAAAHm3e14=")</f>
        <v>#REF!</v>
      </c>
      <c r="CR30" t="e">
        <f>AND(#REF!,"AAAAAHm3e18=")</f>
        <v>#REF!</v>
      </c>
      <c r="CS30" t="e">
        <f>AND(#REF!,"AAAAAHm3e2A=")</f>
        <v>#REF!</v>
      </c>
      <c r="CT30" t="e">
        <f>AND(#REF!,"AAAAAHm3e2E=")</f>
        <v>#REF!</v>
      </c>
      <c r="CU30" t="e">
        <f>AND(#REF!,"AAAAAHm3e2I=")</f>
        <v>#REF!</v>
      </c>
      <c r="CV30" t="e">
        <f>AND(#REF!,"AAAAAHm3e2M=")</f>
        <v>#REF!</v>
      </c>
      <c r="CW30" t="e">
        <f>AND(#REF!,"AAAAAHm3e2Q=")</f>
        <v>#REF!</v>
      </c>
      <c r="CX30" t="e">
        <f>AND(#REF!,"AAAAAHm3e2U=")</f>
        <v>#REF!</v>
      </c>
      <c r="CY30" t="e">
        <f>AND(#REF!,"AAAAAHm3e2Y=")</f>
        <v>#REF!</v>
      </c>
      <c r="CZ30" t="e">
        <f>AND(#REF!,"AAAAAHm3e2c=")</f>
        <v>#REF!</v>
      </c>
      <c r="DA30" t="e">
        <f>AND(#REF!,"AAAAAHm3e2g=")</f>
        <v>#REF!</v>
      </c>
      <c r="DB30" t="e">
        <f>IF(#REF!,"AAAAAHm3e2k=",0)</f>
        <v>#REF!</v>
      </c>
      <c r="DC30" t="e">
        <f>AND(#REF!,"AAAAAHm3e2o=")</f>
        <v>#REF!</v>
      </c>
      <c r="DD30" t="e">
        <f>AND(#REF!,"AAAAAHm3e2s=")</f>
        <v>#REF!</v>
      </c>
      <c r="DE30" t="e">
        <f>AND(#REF!,"AAAAAHm3e2w=")</f>
        <v>#REF!</v>
      </c>
      <c r="DF30" t="e">
        <f>AND(#REF!,"AAAAAHm3e20=")</f>
        <v>#REF!</v>
      </c>
      <c r="DG30" t="e">
        <f>AND(#REF!,"AAAAAHm3e24=")</f>
        <v>#REF!</v>
      </c>
      <c r="DH30" t="e">
        <f>AND(#REF!,"AAAAAHm3e28=")</f>
        <v>#REF!</v>
      </c>
      <c r="DI30" t="e">
        <f>AND(#REF!,"AAAAAHm3e3A=")</f>
        <v>#REF!</v>
      </c>
      <c r="DJ30" t="e">
        <f>AND(#REF!,"AAAAAHm3e3E=")</f>
        <v>#REF!</v>
      </c>
      <c r="DK30" t="e">
        <f>AND(#REF!,"AAAAAHm3e3I=")</f>
        <v>#REF!</v>
      </c>
      <c r="DL30" t="e">
        <f>AND(#REF!,"AAAAAHm3e3M=")</f>
        <v>#REF!</v>
      </c>
      <c r="DM30" t="e">
        <f>AND(#REF!,"AAAAAHm3e3Q=")</f>
        <v>#REF!</v>
      </c>
      <c r="DN30" t="e">
        <f>AND(#REF!,"AAAAAHm3e3U=")</f>
        <v>#REF!</v>
      </c>
      <c r="DO30" t="e">
        <f>IF(#REF!,"AAAAAHm3e3Y=",0)</f>
        <v>#REF!</v>
      </c>
      <c r="DP30" t="e">
        <f>AND(#REF!,"AAAAAHm3e3c=")</f>
        <v>#REF!</v>
      </c>
      <c r="DQ30" t="e">
        <f>AND(#REF!,"AAAAAHm3e3g=")</f>
        <v>#REF!</v>
      </c>
      <c r="DR30" t="e">
        <f>AND(#REF!,"AAAAAHm3e3k=")</f>
        <v>#REF!</v>
      </c>
      <c r="DS30" t="e">
        <f>AND(#REF!,"AAAAAHm3e3o=")</f>
        <v>#REF!</v>
      </c>
      <c r="DT30" t="e">
        <f>AND(#REF!,"AAAAAHm3e3s=")</f>
        <v>#REF!</v>
      </c>
      <c r="DU30" t="e">
        <f>AND(#REF!,"AAAAAHm3e3w=")</f>
        <v>#REF!</v>
      </c>
      <c r="DV30" t="e">
        <f>AND(#REF!,"AAAAAHm3e30=")</f>
        <v>#REF!</v>
      </c>
      <c r="DW30" t="e">
        <f>AND(#REF!,"AAAAAHm3e34=")</f>
        <v>#REF!</v>
      </c>
      <c r="DX30" t="e">
        <f>AND(#REF!,"AAAAAHm3e38=")</f>
        <v>#REF!</v>
      </c>
      <c r="DY30" t="e">
        <f>AND(#REF!,"AAAAAHm3e4A=")</f>
        <v>#REF!</v>
      </c>
      <c r="DZ30" t="e">
        <f>AND(#REF!,"AAAAAHm3e4E=")</f>
        <v>#REF!</v>
      </c>
      <c r="EA30" t="e">
        <f>AND(#REF!,"AAAAAHm3e4I=")</f>
        <v>#REF!</v>
      </c>
      <c r="EB30" t="e">
        <f>IF(#REF!,"AAAAAHm3e4M=",0)</f>
        <v>#REF!</v>
      </c>
      <c r="EC30" t="e">
        <f>AND(#REF!,"AAAAAHm3e4Q=")</f>
        <v>#REF!</v>
      </c>
      <c r="ED30" t="e">
        <f>AND(#REF!,"AAAAAHm3e4U=")</f>
        <v>#REF!</v>
      </c>
      <c r="EE30" t="e">
        <f>AND(#REF!,"AAAAAHm3e4Y=")</f>
        <v>#REF!</v>
      </c>
      <c r="EF30" t="e">
        <f>AND(#REF!,"AAAAAHm3e4c=")</f>
        <v>#REF!</v>
      </c>
      <c r="EG30" t="e">
        <f>AND(#REF!,"AAAAAHm3e4g=")</f>
        <v>#REF!</v>
      </c>
      <c r="EH30" t="e">
        <f>AND(#REF!,"AAAAAHm3e4k=")</f>
        <v>#REF!</v>
      </c>
      <c r="EI30" t="e">
        <f>AND(#REF!,"AAAAAHm3e4o=")</f>
        <v>#REF!</v>
      </c>
      <c r="EJ30" t="e">
        <f>AND(#REF!,"AAAAAHm3e4s=")</f>
        <v>#REF!</v>
      </c>
      <c r="EK30" t="e">
        <f>AND(#REF!,"AAAAAHm3e4w=")</f>
        <v>#REF!</v>
      </c>
      <c r="EL30" t="e">
        <f>AND(#REF!,"AAAAAHm3e40=")</f>
        <v>#REF!</v>
      </c>
      <c r="EM30" t="e">
        <f>AND(#REF!,"AAAAAHm3e44=")</f>
        <v>#REF!</v>
      </c>
      <c r="EN30" t="e">
        <f>AND(#REF!,"AAAAAHm3e48=")</f>
        <v>#REF!</v>
      </c>
      <c r="EO30" t="e">
        <f>IF(#REF!,"AAAAAHm3e5A=",0)</f>
        <v>#REF!</v>
      </c>
      <c r="EP30" t="e">
        <f>AND(#REF!,"AAAAAHm3e5E=")</f>
        <v>#REF!</v>
      </c>
      <c r="EQ30" t="e">
        <f>AND(#REF!,"AAAAAHm3e5I=")</f>
        <v>#REF!</v>
      </c>
      <c r="ER30" t="e">
        <f>AND(#REF!,"AAAAAHm3e5M=")</f>
        <v>#REF!</v>
      </c>
      <c r="ES30" t="e">
        <f>AND(#REF!,"AAAAAHm3e5Q=")</f>
        <v>#REF!</v>
      </c>
      <c r="ET30" t="e">
        <f>AND(#REF!,"AAAAAHm3e5U=")</f>
        <v>#REF!</v>
      </c>
      <c r="EU30" t="e">
        <f>AND(#REF!,"AAAAAHm3e5Y=")</f>
        <v>#REF!</v>
      </c>
      <c r="EV30" t="e">
        <f>AND(#REF!,"AAAAAHm3e5c=")</f>
        <v>#REF!</v>
      </c>
      <c r="EW30" t="e">
        <f>AND(#REF!,"AAAAAHm3e5g=")</f>
        <v>#REF!</v>
      </c>
      <c r="EX30" t="e">
        <f>AND(#REF!,"AAAAAHm3e5k=")</f>
        <v>#REF!</v>
      </c>
      <c r="EY30" t="e">
        <f>AND(#REF!,"AAAAAHm3e5o=")</f>
        <v>#REF!</v>
      </c>
      <c r="EZ30" t="e">
        <f>AND(#REF!,"AAAAAHm3e5s=")</f>
        <v>#REF!</v>
      </c>
      <c r="FA30" t="e">
        <f>AND(#REF!,"AAAAAHm3e5w=")</f>
        <v>#REF!</v>
      </c>
      <c r="FB30" t="e">
        <f>IF(#REF!,"AAAAAHm3e50=",0)</f>
        <v>#REF!</v>
      </c>
      <c r="FC30" t="e">
        <f>AND(#REF!,"AAAAAHm3e54=")</f>
        <v>#REF!</v>
      </c>
      <c r="FD30" t="e">
        <f>AND(#REF!,"AAAAAHm3e58=")</f>
        <v>#REF!</v>
      </c>
      <c r="FE30" t="e">
        <f>AND(#REF!,"AAAAAHm3e6A=")</f>
        <v>#REF!</v>
      </c>
      <c r="FF30" t="e">
        <f>AND(#REF!,"AAAAAHm3e6E=")</f>
        <v>#REF!</v>
      </c>
      <c r="FG30" t="e">
        <f>AND(#REF!,"AAAAAHm3e6I=")</f>
        <v>#REF!</v>
      </c>
      <c r="FH30" t="e">
        <f>AND(#REF!,"AAAAAHm3e6M=")</f>
        <v>#REF!</v>
      </c>
      <c r="FI30" t="e">
        <f>AND(#REF!,"AAAAAHm3e6Q=")</f>
        <v>#REF!</v>
      </c>
      <c r="FJ30" t="e">
        <f>AND(#REF!,"AAAAAHm3e6U=")</f>
        <v>#REF!</v>
      </c>
      <c r="FK30" t="e">
        <f>AND(#REF!,"AAAAAHm3e6Y=")</f>
        <v>#REF!</v>
      </c>
      <c r="FL30" t="e">
        <f>AND(#REF!,"AAAAAHm3e6c=")</f>
        <v>#REF!</v>
      </c>
      <c r="FM30" t="e">
        <f>AND(#REF!,"AAAAAHm3e6g=")</f>
        <v>#REF!</v>
      </c>
      <c r="FN30" t="e">
        <f>AND(#REF!,"AAAAAHm3e6k=")</f>
        <v>#REF!</v>
      </c>
      <c r="FO30" t="e">
        <f>IF(#REF!,"AAAAAHm3e6o=",0)</f>
        <v>#REF!</v>
      </c>
      <c r="FP30" t="e">
        <f>AND(#REF!,"AAAAAHm3e6s=")</f>
        <v>#REF!</v>
      </c>
      <c r="FQ30" t="e">
        <f>AND(#REF!,"AAAAAHm3e6w=")</f>
        <v>#REF!</v>
      </c>
      <c r="FR30" t="e">
        <f>AND(#REF!,"AAAAAHm3e60=")</f>
        <v>#REF!</v>
      </c>
      <c r="FS30" t="e">
        <f>AND(#REF!,"AAAAAHm3e64=")</f>
        <v>#REF!</v>
      </c>
      <c r="FT30" t="e">
        <f>AND(#REF!,"AAAAAHm3e68=")</f>
        <v>#REF!</v>
      </c>
      <c r="FU30" t="e">
        <f>AND(#REF!,"AAAAAHm3e7A=")</f>
        <v>#REF!</v>
      </c>
      <c r="FV30" t="e">
        <f>AND(#REF!,"AAAAAHm3e7E=")</f>
        <v>#REF!</v>
      </c>
      <c r="FW30" t="e">
        <f>AND(#REF!,"AAAAAHm3e7I=")</f>
        <v>#REF!</v>
      </c>
      <c r="FX30" t="e">
        <f>AND(#REF!,"AAAAAHm3e7M=")</f>
        <v>#REF!</v>
      </c>
      <c r="FY30" t="e">
        <f>AND(#REF!,"AAAAAHm3e7Q=")</f>
        <v>#REF!</v>
      </c>
      <c r="FZ30" t="e">
        <f>AND(#REF!,"AAAAAHm3e7U=")</f>
        <v>#REF!</v>
      </c>
      <c r="GA30" t="e">
        <f>AND(#REF!,"AAAAAHm3e7Y=")</f>
        <v>#REF!</v>
      </c>
      <c r="GB30" t="e">
        <f>IF(#REF!,"AAAAAHm3e7c=",0)</f>
        <v>#REF!</v>
      </c>
      <c r="GC30" t="e">
        <f>AND(#REF!,"AAAAAHm3e7g=")</f>
        <v>#REF!</v>
      </c>
      <c r="GD30" t="e">
        <f>AND(#REF!,"AAAAAHm3e7k=")</f>
        <v>#REF!</v>
      </c>
      <c r="GE30" t="e">
        <f>AND(#REF!,"AAAAAHm3e7o=")</f>
        <v>#REF!</v>
      </c>
      <c r="GF30" t="e">
        <f>AND(#REF!,"AAAAAHm3e7s=")</f>
        <v>#REF!</v>
      </c>
      <c r="GG30" t="e">
        <f>AND(#REF!,"AAAAAHm3e7w=")</f>
        <v>#REF!</v>
      </c>
      <c r="GH30" t="e">
        <f>AND(#REF!,"AAAAAHm3e70=")</f>
        <v>#REF!</v>
      </c>
      <c r="GI30" t="e">
        <f>AND(#REF!,"AAAAAHm3e74=")</f>
        <v>#REF!</v>
      </c>
      <c r="GJ30" t="e">
        <f>AND(#REF!,"AAAAAHm3e78=")</f>
        <v>#REF!</v>
      </c>
      <c r="GK30" t="e">
        <f>AND(#REF!,"AAAAAHm3e8A=")</f>
        <v>#REF!</v>
      </c>
      <c r="GL30" t="e">
        <f>AND(#REF!,"AAAAAHm3e8E=")</f>
        <v>#REF!</v>
      </c>
      <c r="GM30" t="e">
        <f>AND(#REF!,"AAAAAHm3e8I=")</f>
        <v>#REF!</v>
      </c>
      <c r="GN30" t="e">
        <f>AND(#REF!,"AAAAAHm3e8M=")</f>
        <v>#REF!</v>
      </c>
      <c r="GO30" t="e">
        <f>IF(#REF!,"AAAAAHm3e8Q=",0)</f>
        <v>#REF!</v>
      </c>
      <c r="GP30" t="e">
        <f>AND(#REF!,"AAAAAHm3e8U=")</f>
        <v>#REF!</v>
      </c>
      <c r="GQ30" t="e">
        <f>AND(#REF!,"AAAAAHm3e8Y=")</f>
        <v>#REF!</v>
      </c>
      <c r="GR30" t="e">
        <f>AND(#REF!,"AAAAAHm3e8c=")</f>
        <v>#REF!</v>
      </c>
      <c r="GS30" t="e">
        <f>AND(#REF!,"AAAAAHm3e8g=")</f>
        <v>#REF!</v>
      </c>
      <c r="GT30" t="e">
        <f>AND(#REF!,"AAAAAHm3e8k=")</f>
        <v>#REF!</v>
      </c>
      <c r="GU30" t="e">
        <f>AND(#REF!,"AAAAAHm3e8o=")</f>
        <v>#REF!</v>
      </c>
      <c r="GV30" t="e">
        <f>AND(#REF!,"AAAAAHm3e8s=")</f>
        <v>#REF!</v>
      </c>
      <c r="GW30" t="e">
        <f>AND(#REF!,"AAAAAHm3e8w=")</f>
        <v>#REF!</v>
      </c>
      <c r="GX30" t="e">
        <f>AND(#REF!,"AAAAAHm3e80=")</f>
        <v>#REF!</v>
      </c>
      <c r="GY30" t="e">
        <f>AND(#REF!,"AAAAAHm3e84=")</f>
        <v>#REF!</v>
      </c>
      <c r="GZ30" t="e">
        <f>AND(#REF!,"AAAAAHm3e88=")</f>
        <v>#REF!</v>
      </c>
      <c r="HA30" t="e">
        <f>AND(#REF!,"AAAAAHm3e9A=")</f>
        <v>#REF!</v>
      </c>
      <c r="HB30" t="e">
        <f>IF(#REF!,"AAAAAHm3e9E=",0)</f>
        <v>#REF!</v>
      </c>
      <c r="HC30" t="e">
        <f>AND(#REF!,"AAAAAHm3e9I=")</f>
        <v>#REF!</v>
      </c>
      <c r="HD30" t="e">
        <f>AND(#REF!,"AAAAAHm3e9M=")</f>
        <v>#REF!</v>
      </c>
      <c r="HE30" t="e">
        <f>AND(#REF!,"AAAAAHm3e9Q=")</f>
        <v>#REF!</v>
      </c>
      <c r="HF30" t="e">
        <f>AND(#REF!,"AAAAAHm3e9U=")</f>
        <v>#REF!</v>
      </c>
      <c r="HG30" t="e">
        <f>AND(#REF!,"AAAAAHm3e9Y=")</f>
        <v>#REF!</v>
      </c>
      <c r="HH30" t="e">
        <f>AND(#REF!,"AAAAAHm3e9c=")</f>
        <v>#REF!</v>
      </c>
      <c r="HI30" t="e">
        <f>AND(#REF!,"AAAAAHm3e9g=")</f>
        <v>#REF!</v>
      </c>
      <c r="HJ30" t="e">
        <f>AND(#REF!,"AAAAAHm3e9k=")</f>
        <v>#REF!</v>
      </c>
      <c r="HK30" t="e">
        <f>AND(#REF!,"AAAAAHm3e9o=")</f>
        <v>#REF!</v>
      </c>
      <c r="HL30" t="e">
        <f>AND(#REF!,"AAAAAHm3e9s=")</f>
        <v>#REF!</v>
      </c>
      <c r="HM30" t="e">
        <f>AND(#REF!,"AAAAAHm3e9w=")</f>
        <v>#REF!</v>
      </c>
      <c r="HN30" t="e">
        <f>AND(#REF!,"AAAAAHm3e90=")</f>
        <v>#REF!</v>
      </c>
      <c r="HO30" t="e">
        <f>IF(#REF!,"AAAAAHm3e94=",0)</f>
        <v>#REF!</v>
      </c>
      <c r="HP30" t="e">
        <f>AND(#REF!,"AAAAAHm3e98=")</f>
        <v>#REF!</v>
      </c>
      <c r="HQ30" t="e">
        <f>AND(#REF!,"AAAAAHm3e+A=")</f>
        <v>#REF!</v>
      </c>
      <c r="HR30" t="e">
        <f>AND(#REF!,"AAAAAHm3e+E=")</f>
        <v>#REF!</v>
      </c>
      <c r="HS30" t="e">
        <f>AND(#REF!,"AAAAAHm3e+I=")</f>
        <v>#REF!</v>
      </c>
      <c r="HT30" t="e">
        <f>AND(#REF!,"AAAAAHm3e+M=")</f>
        <v>#REF!</v>
      </c>
      <c r="HU30" t="e">
        <f>AND(#REF!,"AAAAAHm3e+Q=")</f>
        <v>#REF!</v>
      </c>
      <c r="HV30" t="e">
        <f>AND(#REF!,"AAAAAHm3e+U=")</f>
        <v>#REF!</v>
      </c>
      <c r="HW30" t="e">
        <f>AND(#REF!,"AAAAAHm3e+Y=")</f>
        <v>#REF!</v>
      </c>
      <c r="HX30" t="e">
        <f>AND(#REF!,"AAAAAHm3e+c=")</f>
        <v>#REF!</v>
      </c>
      <c r="HY30" t="e">
        <f>AND(#REF!,"AAAAAHm3e+g=")</f>
        <v>#REF!</v>
      </c>
      <c r="HZ30" t="e">
        <f>AND(#REF!,"AAAAAHm3e+k=")</f>
        <v>#REF!</v>
      </c>
      <c r="IA30" t="e">
        <f>AND(#REF!,"AAAAAHm3e+o=")</f>
        <v>#REF!</v>
      </c>
      <c r="IB30" t="e">
        <f>IF(#REF!,"AAAAAHm3e+s=",0)</f>
        <v>#REF!</v>
      </c>
      <c r="IC30" t="e">
        <f>AND(#REF!,"AAAAAHm3e+w=")</f>
        <v>#REF!</v>
      </c>
      <c r="ID30" t="e">
        <f>AND(#REF!,"AAAAAHm3e+0=")</f>
        <v>#REF!</v>
      </c>
      <c r="IE30" t="e">
        <f>AND(#REF!,"AAAAAHm3e+4=")</f>
        <v>#REF!</v>
      </c>
      <c r="IF30" t="e">
        <f>AND(#REF!,"AAAAAHm3e+8=")</f>
        <v>#REF!</v>
      </c>
      <c r="IG30" t="e">
        <f>AND(#REF!,"AAAAAHm3e/A=")</f>
        <v>#REF!</v>
      </c>
      <c r="IH30" t="e">
        <f>AND(#REF!,"AAAAAHm3e/E=")</f>
        <v>#REF!</v>
      </c>
      <c r="II30" t="e">
        <f>AND(#REF!,"AAAAAHm3e/I=")</f>
        <v>#REF!</v>
      </c>
      <c r="IJ30" t="e">
        <f>AND(#REF!,"AAAAAHm3e/M=")</f>
        <v>#REF!</v>
      </c>
      <c r="IK30" t="e">
        <f>AND(#REF!,"AAAAAHm3e/Q=")</f>
        <v>#REF!</v>
      </c>
      <c r="IL30" t="e">
        <f>AND(#REF!,"AAAAAHm3e/U=")</f>
        <v>#REF!</v>
      </c>
      <c r="IM30" t="e">
        <f>AND(#REF!,"AAAAAHm3e/Y=")</f>
        <v>#REF!</v>
      </c>
      <c r="IN30" t="e">
        <f>AND(#REF!,"AAAAAHm3e/c=")</f>
        <v>#REF!</v>
      </c>
      <c r="IO30" t="e">
        <f>IF(#REF!,"AAAAAHm3e/g=",0)</f>
        <v>#REF!</v>
      </c>
      <c r="IP30" t="e">
        <f>AND(#REF!,"AAAAAHm3e/k=")</f>
        <v>#REF!</v>
      </c>
      <c r="IQ30" t="e">
        <f>AND(#REF!,"AAAAAHm3e/o=")</f>
        <v>#REF!</v>
      </c>
      <c r="IR30" t="e">
        <f>AND(#REF!,"AAAAAHm3e/s=")</f>
        <v>#REF!</v>
      </c>
      <c r="IS30" t="e">
        <f>AND(#REF!,"AAAAAHm3e/w=")</f>
        <v>#REF!</v>
      </c>
      <c r="IT30" t="e">
        <f>AND(#REF!,"AAAAAHm3e/0=")</f>
        <v>#REF!</v>
      </c>
      <c r="IU30" t="e">
        <f>AND(#REF!,"AAAAAHm3e/4=")</f>
        <v>#REF!</v>
      </c>
      <c r="IV30" t="e">
        <f>AND(#REF!,"AAAAAHm3e/8=")</f>
        <v>#REF!</v>
      </c>
    </row>
    <row r="31" spans="1:256">
      <c r="A31" t="e">
        <f>AND(#REF!,"AAAAABb2/wA=")</f>
        <v>#REF!</v>
      </c>
      <c r="B31" t="e">
        <f>AND(#REF!,"AAAAABb2/wE=")</f>
        <v>#REF!</v>
      </c>
      <c r="C31" t="e">
        <f>AND(#REF!,"AAAAABb2/wI=")</f>
        <v>#REF!</v>
      </c>
      <c r="D31" t="e">
        <f>AND(#REF!,"AAAAABb2/wM=")</f>
        <v>#REF!</v>
      </c>
      <c r="E31" t="e">
        <f>AND(#REF!,"AAAAABb2/wQ=")</f>
        <v>#REF!</v>
      </c>
      <c r="F31" t="e">
        <f>IF(#REF!,"AAAAABb2/wU=",0)</f>
        <v>#REF!</v>
      </c>
      <c r="G31" t="e">
        <f>AND(#REF!,"AAAAABb2/wY=")</f>
        <v>#REF!</v>
      </c>
      <c r="H31" t="e">
        <f>AND(#REF!,"AAAAABb2/wc=")</f>
        <v>#REF!</v>
      </c>
      <c r="I31" t="e">
        <f>AND(#REF!,"AAAAABb2/wg=")</f>
        <v>#REF!</v>
      </c>
      <c r="J31" t="e">
        <f>AND(#REF!,"AAAAABb2/wk=")</f>
        <v>#REF!</v>
      </c>
      <c r="K31" t="e">
        <f>AND(#REF!,"AAAAABb2/wo=")</f>
        <v>#REF!</v>
      </c>
      <c r="L31" t="e">
        <f>AND(#REF!,"AAAAABb2/ws=")</f>
        <v>#REF!</v>
      </c>
      <c r="M31" t="e">
        <f>AND(#REF!,"AAAAABb2/ww=")</f>
        <v>#REF!</v>
      </c>
      <c r="N31" t="e">
        <f>AND(#REF!,"AAAAABb2/w0=")</f>
        <v>#REF!</v>
      </c>
      <c r="O31" t="e">
        <f>AND(#REF!,"AAAAABb2/w4=")</f>
        <v>#REF!</v>
      </c>
      <c r="P31" t="e">
        <f>AND(#REF!,"AAAAABb2/w8=")</f>
        <v>#REF!</v>
      </c>
      <c r="Q31" t="e">
        <f>AND(#REF!,"AAAAABb2/xA=")</f>
        <v>#REF!</v>
      </c>
      <c r="R31" t="e">
        <f>AND(#REF!,"AAAAABb2/xE=")</f>
        <v>#REF!</v>
      </c>
      <c r="S31" t="e">
        <f>IF(#REF!,"AAAAABb2/xI=",0)</f>
        <v>#REF!</v>
      </c>
      <c r="T31" t="e">
        <f>AND(#REF!,"AAAAABb2/xM=")</f>
        <v>#REF!</v>
      </c>
      <c r="U31" t="e">
        <f>AND(#REF!,"AAAAABb2/xQ=")</f>
        <v>#REF!</v>
      </c>
      <c r="V31" t="e">
        <f>AND(#REF!,"AAAAABb2/xU=")</f>
        <v>#REF!</v>
      </c>
      <c r="W31" t="e">
        <f>AND(#REF!,"AAAAABb2/xY=")</f>
        <v>#REF!</v>
      </c>
      <c r="X31" t="e">
        <f>AND(#REF!,"AAAAABb2/xc=")</f>
        <v>#REF!</v>
      </c>
      <c r="Y31" t="e">
        <f>AND(#REF!,"AAAAABb2/xg=")</f>
        <v>#REF!</v>
      </c>
      <c r="Z31" t="e">
        <f>AND(#REF!,"AAAAABb2/xk=")</f>
        <v>#REF!</v>
      </c>
      <c r="AA31" t="e">
        <f>AND(#REF!,"AAAAABb2/xo=")</f>
        <v>#REF!</v>
      </c>
      <c r="AB31" t="e">
        <f>AND(#REF!,"AAAAABb2/xs=")</f>
        <v>#REF!</v>
      </c>
      <c r="AC31" t="e">
        <f>AND(#REF!,"AAAAABb2/xw=")</f>
        <v>#REF!</v>
      </c>
      <c r="AD31" t="e">
        <f>AND(#REF!,"AAAAABb2/x0=")</f>
        <v>#REF!</v>
      </c>
      <c r="AE31" t="e">
        <f>AND(#REF!,"AAAAABb2/x4=")</f>
        <v>#REF!</v>
      </c>
      <c r="AF31" t="e">
        <f>IF(#REF!,"AAAAABb2/x8=",0)</f>
        <v>#REF!</v>
      </c>
      <c r="AG31" t="e">
        <f>AND(#REF!,"AAAAABb2/yA=")</f>
        <v>#REF!</v>
      </c>
      <c r="AH31" t="e">
        <f>AND(#REF!,"AAAAABb2/yE=")</f>
        <v>#REF!</v>
      </c>
      <c r="AI31" t="e">
        <f>AND(#REF!,"AAAAABb2/yI=")</f>
        <v>#REF!</v>
      </c>
      <c r="AJ31" t="e">
        <f>AND(#REF!,"AAAAABb2/yM=")</f>
        <v>#REF!</v>
      </c>
      <c r="AK31" t="e">
        <f>AND(#REF!,"AAAAABb2/yQ=")</f>
        <v>#REF!</v>
      </c>
      <c r="AL31" t="e">
        <f>AND(#REF!,"AAAAABb2/yU=")</f>
        <v>#REF!</v>
      </c>
      <c r="AM31" t="e">
        <f>AND(#REF!,"AAAAABb2/yY=")</f>
        <v>#REF!</v>
      </c>
      <c r="AN31" t="e">
        <f>AND(#REF!,"AAAAABb2/yc=")</f>
        <v>#REF!</v>
      </c>
      <c r="AO31" t="e">
        <f>AND(#REF!,"AAAAABb2/yg=")</f>
        <v>#REF!</v>
      </c>
      <c r="AP31" t="e">
        <f>AND(#REF!,"AAAAABb2/yk=")</f>
        <v>#REF!</v>
      </c>
      <c r="AQ31" t="e">
        <f>AND(#REF!,"AAAAABb2/yo=")</f>
        <v>#REF!</v>
      </c>
      <c r="AR31" t="e">
        <f>AND(#REF!,"AAAAABb2/ys=")</f>
        <v>#REF!</v>
      </c>
      <c r="AS31" t="e">
        <f>IF(#REF!,"AAAAABb2/yw=",0)</f>
        <v>#REF!</v>
      </c>
      <c r="AT31" t="e">
        <f>AND(#REF!,"AAAAABb2/y0=")</f>
        <v>#REF!</v>
      </c>
      <c r="AU31" t="e">
        <f>AND(#REF!,"AAAAABb2/y4=")</f>
        <v>#REF!</v>
      </c>
      <c r="AV31" t="e">
        <f>AND(#REF!,"AAAAABb2/y8=")</f>
        <v>#REF!</v>
      </c>
      <c r="AW31" t="e">
        <f>AND(#REF!,"AAAAABb2/zA=")</f>
        <v>#REF!</v>
      </c>
      <c r="AX31" t="e">
        <f>AND(#REF!,"AAAAABb2/zE=")</f>
        <v>#REF!</v>
      </c>
      <c r="AY31" t="e">
        <f>AND(#REF!,"AAAAABb2/zI=")</f>
        <v>#REF!</v>
      </c>
      <c r="AZ31" t="e">
        <f>AND(#REF!,"AAAAABb2/zM=")</f>
        <v>#REF!</v>
      </c>
      <c r="BA31" t="e">
        <f>AND(#REF!,"AAAAABb2/zQ=")</f>
        <v>#REF!</v>
      </c>
      <c r="BB31" t="e">
        <f>AND(#REF!,"AAAAABb2/zU=")</f>
        <v>#REF!</v>
      </c>
      <c r="BC31" t="e">
        <f>AND(#REF!,"AAAAABb2/zY=")</f>
        <v>#REF!</v>
      </c>
      <c r="BD31" t="e">
        <f>AND(#REF!,"AAAAABb2/zc=")</f>
        <v>#REF!</v>
      </c>
      <c r="BE31" t="e">
        <f>AND(#REF!,"AAAAABb2/zg=")</f>
        <v>#REF!</v>
      </c>
      <c r="BF31" t="e">
        <f>IF(#REF!,"AAAAABb2/zk=",0)</f>
        <v>#REF!</v>
      </c>
      <c r="BG31" t="e">
        <f>AND(#REF!,"AAAAABb2/zo=")</f>
        <v>#REF!</v>
      </c>
      <c r="BH31" t="e">
        <f>AND(#REF!,"AAAAABb2/zs=")</f>
        <v>#REF!</v>
      </c>
      <c r="BI31" t="e">
        <f>AND(#REF!,"AAAAABb2/zw=")</f>
        <v>#REF!</v>
      </c>
      <c r="BJ31" t="e">
        <f>AND(#REF!,"AAAAABb2/z0=")</f>
        <v>#REF!</v>
      </c>
      <c r="BK31" t="e">
        <f>AND(#REF!,"AAAAABb2/z4=")</f>
        <v>#REF!</v>
      </c>
      <c r="BL31" t="e">
        <f>AND(#REF!,"AAAAABb2/z8=")</f>
        <v>#REF!</v>
      </c>
      <c r="BM31" t="e">
        <f>AND(#REF!,"AAAAABb2/0A=")</f>
        <v>#REF!</v>
      </c>
      <c r="BN31" t="e">
        <f>AND(#REF!,"AAAAABb2/0E=")</f>
        <v>#REF!</v>
      </c>
      <c r="BO31" t="e">
        <f>AND(#REF!,"AAAAABb2/0I=")</f>
        <v>#REF!</v>
      </c>
      <c r="BP31" t="e">
        <f>AND(#REF!,"AAAAABb2/0M=")</f>
        <v>#REF!</v>
      </c>
      <c r="BQ31" t="e">
        <f>AND(#REF!,"AAAAABb2/0Q=")</f>
        <v>#REF!</v>
      </c>
      <c r="BR31" t="e">
        <f>AND(#REF!,"AAAAABb2/0U=")</f>
        <v>#REF!</v>
      </c>
      <c r="BS31" t="e">
        <f>IF(#REF!,"AAAAABb2/0Y=",0)</f>
        <v>#REF!</v>
      </c>
      <c r="BT31" t="e">
        <f>AND(#REF!,"AAAAABb2/0c=")</f>
        <v>#REF!</v>
      </c>
      <c r="BU31" t="e">
        <f>AND(#REF!,"AAAAABb2/0g=")</f>
        <v>#REF!</v>
      </c>
      <c r="BV31" t="e">
        <f>AND(#REF!,"AAAAABb2/0k=")</f>
        <v>#REF!</v>
      </c>
      <c r="BW31" t="e">
        <f>AND(#REF!,"AAAAABb2/0o=")</f>
        <v>#REF!</v>
      </c>
      <c r="BX31" t="e">
        <f>AND(#REF!,"AAAAABb2/0s=")</f>
        <v>#REF!</v>
      </c>
      <c r="BY31" t="e">
        <f>AND(#REF!,"AAAAABb2/0w=")</f>
        <v>#REF!</v>
      </c>
      <c r="BZ31" t="e">
        <f>AND(#REF!,"AAAAABb2/00=")</f>
        <v>#REF!</v>
      </c>
      <c r="CA31" t="e">
        <f>AND(#REF!,"AAAAABb2/04=")</f>
        <v>#REF!</v>
      </c>
      <c r="CB31" t="e">
        <f>AND(#REF!,"AAAAABb2/08=")</f>
        <v>#REF!</v>
      </c>
      <c r="CC31" t="e">
        <f>AND(#REF!,"AAAAABb2/1A=")</f>
        <v>#REF!</v>
      </c>
      <c r="CD31" t="e">
        <f>AND(#REF!,"AAAAABb2/1E=")</f>
        <v>#REF!</v>
      </c>
      <c r="CE31" t="e">
        <f>AND(#REF!,"AAAAABb2/1I=")</f>
        <v>#REF!</v>
      </c>
      <c r="CF31" t="e">
        <f>IF(#REF!,"AAAAABb2/1M=",0)</f>
        <v>#REF!</v>
      </c>
      <c r="CG31" t="e">
        <f>AND(#REF!,"AAAAABb2/1Q=")</f>
        <v>#REF!</v>
      </c>
      <c r="CH31" t="e">
        <f>AND(#REF!,"AAAAABb2/1U=")</f>
        <v>#REF!</v>
      </c>
      <c r="CI31" t="e">
        <f>AND(#REF!,"AAAAABb2/1Y=")</f>
        <v>#REF!</v>
      </c>
      <c r="CJ31" t="e">
        <f>AND(#REF!,"AAAAABb2/1c=")</f>
        <v>#REF!</v>
      </c>
      <c r="CK31" t="e">
        <f>AND(#REF!,"AAAAABb2/1g=")</f>
        <v>#REF!</v>
      </c>
      <c r="CL31" t="e">
        <f>AND(#REF!,"AAAAABb2/1k=")</f>
        <v>#REF!</v>
      </c>
      <c r="CM31" t="e">
        <f>AND(#REF!,"AAAAABb2/1o=")</f>
        <v>#REF!</v>
      </c>
      <c r="CN31" t="e">
        <f>AND(#REF!,"AAAAABb2/1s=")</f>
        <v>#REF!</v>
      </c>
      <c r="CO31" t="e">
        <f>AND(#REF!,"AAAAABb2/1w=")</f>
        <v>#REF!</v>
      </c>
      <c r="CP31" t="e">
        <f>AND(#REF!,"AAAAABb2/10=")</f>
        <v>#REF!</v>
      </c>
      <c r="CQ31" t="e">
        <f>AND(#REF!,"AAAAABb2/14=")</f>
        <v>#REF!</v>
      </c>
      <c r="CR31" t="e">
        <f>AND(#REF!,"AAAAABb2/18=")</f>
        <v>#REF!</v>
      </c>
      <c r="CS31" t="e">
        <f>IF(#REF!,"AAAAABb2/2A=",0)</f>
        <v>#REF!</v>
      </c>
      <c r="CT31" t="e">
        <f>AND(#REF!,"AAAAABb2/2E=")</f>
        <v>#REF!</v>
      </c>
      <c r="CU31" t="e">
        <f>AND(#REF!,"AAAAABb2/2I=")</f>
        <v>#REF!</v>
      </c>
      <c r="CV31" t="e">
        <f>AND(#REF!,"AAAAABb2/2M=")</f>
        <v>#REF!</v>
      </c>
      <c r="CW31" t="e">
        <f>AND(#REF!,"AAAAABb2/2Q=")</f>
        <v>#REF!</v>
      </c>
      <c r="CX31" t="e">
        <f>AND(#REF!,"AAAAABb2/2U=")</f>
        <v>#REF!</v>
      </c>
      <c r="CY31" t="e">
        <f>AND(#REF!,"AAAAABb2/2Y=")</f>
        <v>#REF!</v>
      </c>
      <c r="CZ31" t="e">
        <f>AND(#REF!,"AAAAABb2/2c=")</f>
        <v>#REF!</v>
      </c>
      <c r="DA31" t="e">
        <f>AND(#REF!,"AAAAABb2/2g=")</f>
        <v>#REF!</v>
      </c>
      <c r="DB31" t="e">
        <f>AND(#REF!,"AAAAABb2/2k=")</f>
        <v>#REF!</v>
      </c>
      <c r="DC31" t="e">
        <f>AND(#REF!,"AAAAABb2/2o=")</f>
        <v>#REF!</v>
      </c>
      <c r="DD31" t="e">
        <f>AND(#REF!,"AAAAABb2/2s=")</f>
        <v>#REF!</v>
      </c>
      <c r="DE31" t="e">
        <f>AND(#REF!,"AAAAABb2/2w=")</f>
        <v>#REF!</v>
      </c>
      <c r="DF31" t="e">
        <f>IF(#REF!,"AAAAABb2/20=",0)</f>
        <v>#REF!</v>
      </c>
      <c r="DG31" t="e">
        <f>AND(#REF!,"AAAAABb2/24=")</f>
        <v>#REF!</v>
      </c>
      <c r="DH31" t="e">
        <f>AND(#REF!,"AAAAABb2/28=")</f>
        <v>#REF!</v>
      </c>
      <c r="DI31" t="e">
        <f>AND(#REF!,"AAAAABb2/3A=")</f>
        <v>#REF!</v>
      </c>
      <c r="DJ31" t="e">
        <f>AND(#REF!,"AAAAABb2/3E=")</f>
        <v>#REF!</v>
      </c>
      <c r="DK31" t="e">
        <f>AND(#REF!,"AAAAABb2/3I=")</f>
        <v>#REF!</v>
      </c>
      <c r="DL31" t="e">
        <f>AND(#REF!,"AAAAABb2/3M=")</f>
        <v>#REF!</v>
      </c>
      <c r="DM31" t="e">
        <f>AND(#REF!,"AAAAABb2/3Q=")</f>
        <v>#REF!</v>
      </c>
      <c r="DN31" t="e">
        <f>AND(#REF!,"AAAAABb2/3U=")</f>
        <v>#REF!</v>
      </c>
      <c r="DO31" t="e">
        <f>AND(#REF!,"AAAAABb2/3Y=")</f>
        <v>#REF!</v>
      </c>
      <c r="DP31" t="e">
        <f>AND(#REF!,"AAAAABb2/3c=")</f>
        <v>#REF!</v>
      </c>
      <c r="DQ31" t="e">
        <f>AND(#REF!,"AAAAABb2/3g=")</f>
        <v>#REF!</v>
      </c>
      <c r="DR31" t="e">
        <f>AND(#REF!,"AAAAABb2/3k=")</f>
        <v>#REF!</v>
      </c>
      <c r="DS31" t="e">
        <f>IF(#REF!,"AAAAABb2/3o=",0)</f>
        <v>#REF!</v>
      </c>
      <c r="DT31" t="e">
        <f>AND(#REF!,"AAAAABb2/3s=")</f>
        <v>#REF!</v>
      </c>
      <c r="DU31" t="e">
        <f>AND(#REF!,"AAAAABb2/3w=")</f>
        <v>#REF!</v>
      </c>
      <c r="DV31" t="e">
        <f>AND(#REF!,"AAAAABb2/30=")</f>
        <v>#REF!</v>
      </c>
      <c r="DW31" t="e">
        <f>AND(#REF!,"AAAAABb2/34=")</f>
        <v>#REF!</v>
      </c>
      <c r="DX31" t="e">
        <f>AND(#REF!,"AAAAABb2/38=")</f>
        <v>#REF!</v>
      </c>
      <c r="DY31" t="e">
        <f>AND(#REF!,"AAAAABb2/4A=")</f>
        <v>#REF!</v>
      </c>
      <c r="DZ31" t="e">
        <f>AND(#REF!,"AAAAABb2/4E=")</f>
        <v>#REF!</v>
      </c>
      <c r="EA31" t="e">
        <f>AND(#REF!,"AAAAABb2/4I=")</f>
        <v>#REF!</v>
      </c>
      <c r="EB31" t="e">
        <f>AND(#REF!,"AAAAABb2/4M=")</f>
        <v>#REF!</v>
      </c>
      <c r="EC31" t="e">
        <f>AND(#REF!,"AAAAABb2/4Q=")</f>
        <v>#REF!</v>
      </c>
      <c r="ED31" t="e">
        <f>AND(#REF!,"AAAAABb2/4U=")</f>
        <v>#REF!</v>
      </c>
      <c r="EE31" t="e">
        <f>AND(#REF!,"AAAAABb2/4Y=")</f>
        <v>#REF!</v>
      </c>
      <c r="EF31" t="e">
        <f>IF(#REF!,"AAAAABb2/4c=",0)</f>
        <v>#REF!</v>
      </c>
      <c r="EG31" t="e">
        <f>AND(#REF!,"AAAAABb2/4g=")</f>
        <v>#REF!</v>
      </c>
      <c r="EH31" t="e">
        <f>AND(#REF!,"AAAAABb2/4k=")</f>
        <v>#REF!</v>
      </c>
      <c r="EI31" t="e">
        <f>AND(#REF!,"AAAAABb2/4o=")</f>
        <v>#REF!</v>
      </c>
      <c r="EJ31" t="e">
        <f>AND(#REF!,"AAAAABb2/4s=")</f>
        <v>#REF!</v>
      </c>
      <c r="EK31" t="e">
        <f>AND(#REF!,"AAAAABb2/4w=")</f>
        <v>#REF!</v>
      </c>
      <c r="EL31" t="e">
        <f>AND(#REF!,"AAAAABb2/40=")</f>
        <v>#REF!</v>
      </c>
      <c r="EM31" t="e">
        <f>AND(#REF!,"AAAAABb2/44=")</f>
        <v>#REF!</v>
      </c>
      <c r="EN31" t="e">
        <f>AND(#REF!,"AAAAABb2/48=")</f>
        <v>#REF!</v>
      </c>
      <c r="EO31" t="e">
        <f>AND(#REF!,"AAAAABb2/5A=")</f>
        <v>#REF!</v>
      </c>
      <c r="EP31" t="e">
        <f>AND(#REF!,"AAAAABb2/5E=")</f>
        <v>#REF!</v>
      </c>
      <c r="EQ31" t="e">
        <f>AND(#REF!,"AAAAABb2/5I=")</f>
        <v>#REF!</v>
      </c>
      <c r="ER31" t="e">
        <f>AND(#REF!,"AAAAABb2/5M=")</f>
        <v>#REF!</v>
      </c>
      <c r="ES31" t="e">
        <f>IF(#REF!,"AAAAABb2/5Q=",0)</f>
        <v>#REF!</v>
      </c>
      <c r="ET31" t="e">
        <f>AND(#REF!,"AAAAABb2/5U=")</f>
        <v>#REF!</v>
      </c>
      <c r="EU31" t="e">
        <f>AND(#REF!,"AAAAABb2/5Y=")</f>
        <v>#REF!</v>
      </c>
      <c r="EV31" t="e">
        <f>AND(#REF!,"AAAAABb2/5c=")</f>
        <v>#REF!</v>
      </c>
      <c r="EW31" t="e">
        <f>AND(#REF!,"AAAAABb2/5g=")</f>
        <v>#REF!</v>
      </c>
      <c r="EX31" t="e">
        <f>AND(#REF!,"AAAAABb2/5k=")</f>
        <v>#REF!</v>
      </c>
      <c r="EY31" t="e">
        <f>AND(#REF!,"AAAAABb2/5o=")</f>
        <v>#REF!</v>
      </c>
      <c r="EZ31" t="e">
        <f>AND(#REF!,"AAAAABb2/5s=")</f>
        <v>#REF!</v>
      </c>
      <c r="FA31" t="e">
        <f>AND(#REF!,"AAAAABb2/5w=")</f>
        <v>#REF!</v>
      </c>
      <c r="FB31" t="e">
        <f>AND(#REF!,"AAAAABb2/50=")</f>
        <v>#REF!</v>
      </c>
      <c r="FC31" t="e">
        <f>AND(#REF!,"AAAAABb2/54=")</f>
        <v>#REF!</v>
      </c>
      <c r="FD31" t="e">
        <f>AND(#REF!,"AAAAABb2/58=")</f>
        <v>#REF!</v>
      </c>
      <c r="FE31" t="e">
        <f>AND(#REF!,"AAAAABb2/6A=")</f>
        <v>#REF!</v>
      </c>
      <c r="FF31" t="e">
        <f>IF(#REF!,"AAAAABb2/6E=",0)</f>
        <v>#REF!</v>
      </c>
      <c r="FG31" t="e">
        <f>AND(#REF!,"AAAAABb2/6I=")</f>
        <v>#REF!</v>
      </c>
      <c r="FH31" t="e">
        <f>AND(#REF!,"AAAAABb2/6M=")</f>
        <v>#REF!</v>
      </c>
      <c r="FI31" t="e">
        <f>AND(#REF!,"AAAAABb2/6Q=")</f>
        <v>#REF!</v>
      </c>
      <c r="FJ31" t="e">
        <f>AND(#REF!,"AAAAABb2/6U=")</f>
        <v>#REF!</v>
      </c>
      <c r="FK31" t="e">
        <f>AND(#REF!,"AAAAABb2/6Y=")</f>
        <v>#REF!</v>
      </c>
      <c r="FL31" t="e">
        <f>AND(#REF!,"AAAAABb2/6c=")</f>
        <v>#REF!</v>
      </c>
      <c r="FM31" t="e">
        <f>AND(#REF!,"AAAAABb2/6g=")</f>
        <v>#REF!</v>
      </c>
      <c r="FN31" t="e">
        <f>AND(#REF!,"AAAAABb2/6k=")</f>
        <v>#REF!</v>
      </c>
      <c r="FO31" t="e">
        <f>AND(#REF!,"AAAAABb2/6o=")</f>
        <v>#REF!</v>
      </c>
      <c r="FP31" t="e">
        <f>AND(#REF!,"AAAAABb2/6s=")</f>
        <v>#REF!</v>
      </c>
      <c r="FQ31" t="e">
        <f>AND(#REF!,"AAAAABb2/6w=")</f>
        <v>#REF!</v>
      </c>
      <c r="FR31" t="e">
        <f>AND(#REF!,"AAAAABb2/60=")</f>
        <v>#REF!</v>
      </c>
      <c r="FS31" t="e">
        <f>IF(#REF!,"AAAAABb2/64=",0)</f>
        <v>#REF!</v>
      </c>
      <c r="FT31" t="e">
        <f>AND(#REF!,"AAAAABb2/68=")</f>
        <v>#REF!</v>
      </c>
      <c r="FU31" t="e">
        <f>AND(#REF!,"AAAAABb2/7A=")</f>
        <v>#REF!</v>
      </c>
      <c r="FV31" t="e">
        <f>AND(#REF!,"AAAAABb2/7E=")</f>
        <v>#REF!</v>
      </c>
      <c r="FW31" t="e">
        <f>AND(#REF!,"AAAAABb2/7I=")</f>
        <v>#REF!</v>
      </c>
      <c r="FX31" t="e">
        <f>AND(#REF!,"AAAAABb2/7M=")</f>
        <v>#REF!</v>
      </c>
      <c r="FY31" t="e">
        <f>AND(#REF!,"AAAAABb2/7Q=")</f>
        <v>#REF!</v>
      </c>
      <c r="FZ31" t="e">
        <f>AND(#REF!,"AAAAABb2/7U=")</f>
        <v>#REF!</v>
      </c>
      <c r="GA31" t="e">
        <f>AND(#REF!,"AAAAABb2/7Y=")</f>
        <v>#REF!</v>
      </c>
      <c r="GB31" t="e">
        <f>AND(#REF!,"AAAAABb2/7c=")</f>
        <v>#REF!</v>
      </c>
      <c r="GC31" t="e">
        <f>AND(#REF!,"AAAAABb2/7g=")</f>
        <v>#REF!</v>
      </c>
      <c r="GD31" t="e">
        <f>AND(#REF!,"AAAAABb2/7k=")</f>
        <v>#REF!</v>
      </c>
      <c r="GE31" t="e">
        <f>AND(#REF!,"AAAAABb2/7o=")</f>
        <v>#REF!</v>
      </c>
      <c r="GF31" t="e">
        <f>IF(#REF!,"AAAAABb2/7s=",0)</f>
        <v>#REF!</v>
      </c>
      <c r="GG31" t="e">
        <f>AND(#REF!,"AAAAABb2/7w=")</f>
        <v>#REF!</v>
      </c>
      <c r="GH31" t="e">
        <f>AND(#REF!,"AAAAABb2/70=")</f>
        <v>#REF!</v>
      </c>
      <c r="GI31" t="e">
        <f>AND(#REF!,"AAAAABb2/74=")</f>
        <v>#REF!</v>
      </c>
      <c r="GJ31" t="e">
        <f>AND(#REF!,"AAAAABb2/78=")</f>
        <v>#REF!</v>
      </c>
      <c r="GK31" t="e">
        <f>AND(#REF!,"AAAAABb2/8A=")</f>
        <v>#REF!</v>
      </c>
      <c r="GL31" t="e">
        <f>AND(#REF!,"AAAAABb2/8E=")</f>
        <v>#REF!</v>
      </c>
      <c r="GM31" t="e">
        <f>AND(#REF!,"AAAAABb2/8I=")</f>
        <v>#REF!</v>
      </c>
      <c r="GN31" t="e">
        <f>AND(#REF!,"AAAAABb2/8M=")</f>
        <v>#REF!</v>
      </c>
      <c r="GO31" t="e">
        <f>AND(#REF!,"AAAAABb2/8Q=")</f>
        <v>#REF!</v>
      </c>
      <c r="GP31" t="e">
        <f>AND(#REF!,"AAAAABb2/8U=")</f>
        <v>#REF!</v>
      </c>
      <c r="GQ31" t="e">
        <f>AND(#REF!,"AAAAABb2/8Y=")</f>
        <v>#REF!</v>
      </c>
      <c r="GR31" t="e">
        <f>AND(#REF!,"AAAAABb2/8c=")</f>
        <v>#REF!</v>
      </c>
      <c r="GS31" t="e">
        <f>IF(#REF!,"AAAAABb2/8g=",0)</f>
        <v>#REF!</v>
      </c>
      <c r="GT31" t="e">
        <f>AND(#REF!,"AAAAABb2/8k=")</f>
        <v>#REF!</v>
      </c>
      <c r="GU31" t="e">
        <f>AND(#REF!,"AAAAABb2/8o=")</f>
        <v>#REF!</v>
      </c>
      <c r="GV31" t="e">
        <f>AND(#REF!,"AAAAABb2/8s=")</f>
        <v>#REF!</v>
      </c>
      <c r="GW31" t="e">
        <f>AND(#REF!,"AAAAABb2/8w=")</f>
        <v>#REF!</v>
      </c>
      <c r="GX31" t="e">
        <f>AND(#REF!,"AAAAABb2/80=")</f>
        <v>#REF!</v>
      </c>
      <c r="GY31" t="e">
        <f>AND(#REF!,"AAAAABb2/84=")</f>
        <v>#REF!</v>
      </c>
      <c r="GZ31" t="e">
        <f>AND(#REF!,"AAAAABb2/88=")</f>
        <v>#REF!</v>
      </c>
      <c r="HA31" t="e">
        <f>AND(#REF!,"AAAAABb2/9A=")</f>
        <v>#REF!</v>
      </c>
      <c r="HB31" t="e">
        <f>AND(#REF!,"AAAAABb2/9E=")</f>
        <v>#REF!</v>
      </c>
      <c r="HC31" t="e">
        <f>AND(#REF!,"AAAAABb2/9I=")</f>
        <v>#REF!</v>
      </c>
      <c r="HD31" t="e">
        <f>AND(#REF!,"AAAAABb2/9M=")</f>
        <v>#REF!</v>
      </c>
      <c r="HE31" t="e">
        <f>AND(#REF!,"AAAAABb2/9Q=")</f>
        <v>#REF!</v>
      </c>
      <c r="HF31" t="e">
        <f>IF(#REF!,"AAAAABb2/9U=",0)</f>
        <v>#REF!</v>
      </c>
      <c r="HG31" t="e">
        <f>AND(#REF!,"AAAAABb2/9Y=")</f>
        <v>#REF!</v>
      </c>
      <c r="HH31" t="e">
        <f>AND(#REF!,"AAAAABb2/9c=")</f>
        <v>#REF!</v>
      </c>
      <c r="HI31" t="e">
        <f>AND(#REF!,"AAAAABb2/9g=")</f>
        <v>#REF!</v>
      </c>
      <c r="HJ31" t="e">
        <f>AND(#REF!,"AAAAABb2/9k=")</f>
        <v>#REF!</v>
      </c>
      <c r="HK31" t="e">
        <f>AND(#REF!,"AAAAABb2/9o=")</f>
        <v>#REF!</v>
      </c>
      <c r="HL31" t="e">
        <f>AND(#REF!,"AAAAABb2/9s=")</f>
        <v>#REF!</v>
      </c>
      <c r="HM31" t="e">
        <f>AND(#REF!,"AAAAABb2/9w=")</f>
        <v>#REF!</v>
      </c>
      <c r="HN31" t="e">
        <f>AND(#REF!,"AAAAABb2/90=")</f>
        <v>#REF!</v>
      </c>
      <c r="HO31" t="e">
        <f>AND(#REF!,"AAAAABb2/94=")</f>
        <v>#REF!</v>
      </c>
      <c r="HP31" t="e">
        <f>AND(#REF!,"AAAAABb2/98=")</f>
        <v>#REF!</v>
      </c>
      <c r="HQ31" t="e">
        <f>AND(#REF!,"AAAAABb2/+A=")</f>
        <v>#REF!</v>
      </c>
      <c r="HR31" t="e">
        <f>AND(#REF!,"AAAAABb2/+E=")</f>
        <v>#REF!</v>
      </c>
      <c r="HS31" t="e">
        <f>IF(#REF!,"AAAAABb2/+I=",0)</f>
        <v>#REF!</v>
      </c>
      <c r="HT31" t="e">
        <f>AND(#REF!,"AAAAABb2/+M=")</f>
        <v>#REF!</v>
      </c>
      <c r="HU31" t="e">
        <f>AND(#REF!,"AAAAABb2/+Q=")</f>
        <v>#REF!</v>
      </c>
      <c r="HV31" t="e">
        <f>AND(#REF!,"AAAAABb2/+U=")</f>
        <v>#REF!</v>
      </c>
      <c r="HW31" t="e">
        <f>AND(#REF!,"AAAAABb2/+Y=")</f>
        <v>#REF!</v>
      </c>
      <c r="HX31" t="e">
        <f>AND(#REF!,"AAAAABb2/+c=")</f>
        <v>#REF!</v>
      </c>
      <c r="HY31" t="e">
        <f>AND(#REF!,"AAAAABb2/+g=")</f>
        <v>#REF!</v>
      </c>
      <c r="HZ31" t="e">
        <f>AND(#REF!,"AAAAABb2/+k=")</f>
        <v>#REF!</v>
      </c>
      <c r="IA31" t="e">
        <f>AND(#REF!,"AAAAABb2/+o=")</f>
        <v>#REF!</v>
      </c>
      <c r="IB31" t="e">
        <f>AND(#REF!,"AAAAABb2/+s=")</f>
        <v>#REF!</v>
      </c>
      <c r="IC31" t="e">
        <f>AND(#REF!,"AAAAABb2/+w=")</f>
        <v>#REF!</v>
      </c>
      <c r="ID31" t="e">
        <f>AND(#REF!,"AAAAABb2/+0=")</f>
        <v>#REF!</v>
      </c>
      <c r="IE31" t="e">
        <f>AND(#REF!,"AAAAABb2/+4=")</f>
        <v>#REF!</v>
      </c>
      <c r="IF31" t="e">
        <f>IF(#REF!,"AAAAABb2/+8=",0)</f>
        <v>#REF!</v>
      </c>
      <c r="IG31" t="e">
        <f>AND(#REF!,"AAAAABb2//A=")</f>
        <v>#REF!</v>
      </c>
      <c r="IH31" t="e">
        <f>AND(#REF!,"AAAAABb2//E=")</f>
        <v>#REF!</v>
      </c>
      <c r="II31" t="e">
        <f>IF(#REF!,"AAAAABb2//I=",0)</f>
        <v>#REF!</v>
      </c>
      <c r="IJ31" t="e">
        <f>IF(#REF!,"AAAAABb2//M=",0)</f>
        <v>#REF!</v>
      </c>
      <c r="IK31" t="e">
        <f>IF(#REF!,"AAAAABb2//Q=",0)</f>
        <v>#REF!</v>
      </c>
      <c r="IL31" t="e">
        <f>IF(#REF!,"AAAAABb2//U=",0)</f>
        <v>#REF!</v>
      </c>
      <c r="IM31" t="e">
        <f>IF(#REF!,"AAAAABb2//Y=",0)</f>
        <v>#REF!</v>
      </c>
      <c r="IN31" t="e">
        <f>IF(#REF!,"AAAAABb2//c=",0)</f>
        <v>#REF!</v>
      </c>
      <c r="IO31" t="e">
        <f>IF(#REF!,"AAAAABb2//g=",0)</f>
        <v>#REF!</v>
      </c>
      <c r="IP31" t="e">
        <f>IF(#REF!,"AAAAABb2//k=",0)</f>
        <v>#REF!</v>
      </c>
      <c r="IQ31" t="e">
        <f>IF(#REF!,"AAAAABb2//o=",0)</f>
        <v>#REF!</v>
      </c>
      <c r="IR31" t="e">
        <f>IF(#REF!,"AAAAABb2//s=",0)</f>
        <v>#REF!</v>
      </c>
      <c r="IS31" t="e">
        <f>IF(#REF!,"AAAAABb2//w=",0)</f>
        <v>#REF!</v>
      </c>
      <c r="IT31" t="e">
        <f>IF(#REF!,"AAAAABb2//0=",0)</f>
        <v>#REF!</v>
      </c>
      <c r="IU31" t="e">
        <f>IF(#REF!,"AAAAABb2//4=",0)</f>
        <v>#REF!</v>
      </c>
      <c r="IV31" t="e">
        <f>AND(#REF!,"AAAAABb2//8=")</f>
        <v>#REF!</v>
      </c>
    </row>
    <row r="32" spans="1:256">
      <c r="A32" t="e">
        <f>AND(#REF!,"AAAAACbT/wA=")</f>
        <v>#REF!</v>
      </c>
      <c r="B32" t="e">
        <f>AND(#REF!,"AAAAACbT/wE=")</f>
        <v>#REF!</v>
      </c>
      <c r="C32" t="e">
        <f>AND(#REF!,"AAAAACbT/wI=")</f>
        <v>#REF!</v>
      </c>
      <c r="D32" t="e">
        <f>AND(#REF!,"AAAAACbT/wM=")</f>
        <v>#REF!</v>
      </c>
      <c r="E32" t="e">
        <f>AND(#REF!,"AAAAACbT/wQ=")</f>
        <v>#REF!</v>
      </c>
      <c r="F32" t="e">
        <f>AND(#REF!,"AAAAACbT/wU=")</f>
        <v>#REF!</v>
      </c>
      <c r="G32" t="e">
        <f>AND(#REF!,"AAAAACbT/wY=")</f>
        <v>#REF!</v>
      </c>
      <c r="H32" t="e">
        <f>AND(#REF!,"AAAAACbT/wc=")</f>
        <v>#REF!</v>
      </c>
      <c r="I32" t="e">
        <f>AND(#REF!,"AAAAACbT/wg=")</f>
        <v>#REF!</v>
      </c>
      <c r="J32" t="e">
        <f>AND(#REF!,"AAAAACbT/wk=")</f>
        <v>#REF!</v>
      </c>
      <c r="K32" t="e">
        <f>AND(#REF!,"AAAAACbT/wo=")</f>
        <v>#REF!</v>
      </c>
      <c r="L32" t="e">
        <f>IF(#REF!,"AAAAACbT/ws=",0)</f>
        <v>#REF!</v>
      </c>
      <c r="M32" t="e">
        <f>AND(#REF!,"AAAAACbT/ww=")</f>
        <v>#REF!</v>
      </c>
      <c r="N32" t="e">
        <f>AND(#REF!,"AAAAACbT/w0=")</f>
        <v>#REF!</v>
      </c>
      <c r="O32" t="e">
        <f>AND(#REF!,"AAAAACbT/w4=")</f>
        <v>#REF!</v>
      </c>
      <c r="P32" t="e">
        <f>AND(#REF!,"AAAAACbT/w8=")</f>
        <v>#REF!</v>
      </c>
      <c r="Q32" t="e">
        <f>AND(#REF!,"AAAAACbT/xA=")</f>
        <v>#REF!</v>
      </c>
      <c r="R32" t="e">
        <f>AND(#REF!,"AAAAACbT/xE=")</f>
        <v>#REF!</v>
      </c>
      <c r="S32" t="e">
        <f>AND(#REF!,"AAAAACbT/xI=")</f>
        <v>#REF!</v>
      </c>
      <c r="T32" t="e">
        <f>AND(#REF!,"AAAAACbT/xM=")</f>
        <v>#REF!</v>
      </c>
      <c r="U32" t="e">
        <f>AND(#REF!,"AAAAACbT/xQ=")</f>
        <v>#REF!</v>
      </c>
      <c r="V32" t="e">
        <f>AND(#REF!,"AAAAACbT/xU=")</f>
        <v>#REF!</v>
      </c>
      <c r="W32" t="e">
        <f>AND(#REF!,"AAAAACbT/xY=")</f>
        <v>#REF!</v>
      </c>
      <c r="X32" t="e">
        <f>AND(#REF!,"AAAAACbT/xc=")</f>
        <v>#REF!</v>
      </c>
      <c r="Y32" t="e">
        <f>IF(#REF!,"AAAAACbT/xg=",0)</f>
        <v>#REF!</v>
      </c>
      <c r="Z32" t="e">
        <f>AND(#REF!,"AAAAACbT/xk=")</f>
        <v>#REF!</v>
      </c>
      <c r="AA32" t="e">
        <f>AND(#REF!,"AAAAACbT/xo=")</f>
        <v>#REF!</v>
      </c>
      <c r="AB32" t="e">
        <f>AND(#REF!,"AAAAACbT/xs=")</f>
        <v>#REF!</v>
      </c>
      <c r="AC32" t="e">
        <f>AND(#REF!,"AAAAACbT/xw=")</f>
        <v>#REF!</v>
      </c>
      <c r="AD32" t="e">
        <f>AND(#REF!,"AAAAACbT/x0=")</f>
        <v>#REF!</v>
      </c>
      <c r="AE32" t="e">
        <f>AND(#REF!,"AAAAACbT/x4=")</f>
        <v>#REF!</v>
      </c>
      <c r="AF32" t="e">
        <f>AND(#REF!,"AAAAACbT/x8=")</f>
        <v>#REF!</v>
      </c>
      <c r="AG32" t="e">
        <f>AND(#REF!,"AAAAACbT/yA=")</f>
        <v>#REF!</v>
      </c>
      <c r="AH32" t="e">
        <f>AND(#REF!,"AAAAACbT/yE=")</f>
        <v>#REF!</v>
      </c>
      <c r="AI32" t="e">
        <f>AND(#REF!,"AAAAACbT/yI=")</f>
        <v>#REF!</v>
      </c>
      <c r="AJ32" t="e">
        <f>AND(#REF!,"AAAAACbT/yM=")</f>
        <v>#REF!</v>
      </c>
      <c r="AK32" t="e">
        <f>AND(#REF!,"AAAAACbT/yQ=")</f>
        <v>#REF!</v>
      </c>
      <c r="AL32" t="e">
        <f>IF(#REF!,"AAAAACbT/yU=",0)</f>
        <v>#REF!</v>
      </c>
      <c r="AM32" t="e">
        <f>AND(#REF!,"AAAAACbT/yY=")</f>
        <v>#REF!</v>
      </c>
      <c r="AN32" t="e">
        <f>AND(#REF!,"AAAAACbT/yc=")</f>
        <v>#REF!</v>
      </c>
      <c r="AO32" t="e">
        <f>AND(#REF!,"AAAAACbT/yg=")</f>
        <v>#REF!</v>
      </c>
      <c r="AP32" t="e">
        <f>AND(#REF!,"AAAAACbT/yk=")</f>
        <v>#REF!</v>
      </c>
      <c r="AQ32" t="e">
        <f>AND(#REF!,"AAAAACbT/yo=")</f>
        <v>#REF!</v>
      </c>
      <c r="AR32" t="e">
        <f>AND(#REF!,"AAAAACbT/ys=")</f>
        <v>#REF!</v>
      </c>
      <c r="AS32" t="e">
        <f>AND(#REF!,"AAAAACbT/yw=")</f>
        <v>#REF!</v>
      </c>
      <c r="AT32" t="e">
        <f>AND(#REF!,"AAAAACbT/y0=")</f>
        <v>#REF!</v>
      </c>
      <c r="AU32" t="e">
        <f>AND(#REF!,"AAAAACbT/y4=")</f>
        <v>#REF!</v>
      </c>
      <c r="AV32" t="e">
        <f>AND(#REF!,"AAAAACbT/y8=")</f>
        <v>#REF!</v>
      </c>
      <c r="AW32" t="e">
        <f>AND(#REF!,"AAAAACbT/zA=")</f>
        <v>#REF!</v>
      </c>
      <c r="AX32" t="e">
        <f>AND(#REF!,"AAAAACbT/zE=")</f>
        <v>#REF!</v>
      </c>
      <c r="AY32" t="e">
        <f>IF(#REF!,"AAAAACbT/zI=",0)</f>
        <v>#REF!</v>
      </c>
      <c r="AZ32" t="e">
        <f>AND(#REF!,"AAAAACbT/zM=")</f>
        <v>#REF!</v>
      </c>
      <c r="BA32" t="e">
        <f>AND(#REF!,"AAAAACbT/zQ=")</f>
        <v>#REF!</v>
      </c>
      <c r="BB32" t="e">
        <f>AND(#REF!,"AAAAACbT/zU=")</f>
        <v>#REF!</v>
      </c>
      <c r="BC32" t="e">
        <f>AND(#REF!,"AAAAACbT/zY=")</f>
        <v>#REF!</v>
      </c>
      <c r="BD32" t="e">
        <f>AND(#REF!,"AAAAACbT/zc=")</f>
        <v>#REF!</v>
      </c>
      <c r="BE32" t="e">
        <f>AND(#REF!,"AAAAACbT/zg=")</f>
        <v>#REF!</v>
      </c>
      <c r="BF32" t="e">
        <f>AND(#REF!,"AAAAACbT/zk=")</f>
        <v>#REF!</v>
      </c>
      <c r="BG32" t="e">
        <f>AND(#REF!,"AAAAACbT/zo=")</f>
        <v>#REF!</v>
      </c>
      <c r="BH32" t="e">
        <f>AND(#REF!,"AAAAACbT/zs=")</f>
        <v>#REF!</v>
      </c>
      <c r="BI32" t="e">
        <f>AND(#REF!,"AAAAACbT/zw=")</f>
        <v>#REF!</v>
      </c>
      <c r="BJ32" t="e">
        <f>AND(#REF!,"AAAAACbT/z0=")</f>
        <v>#REF!</v>
      </c>
      <c r="BK32" t="e">
        <f>AND(#REF!,"AAAAACbT/z4=")</f>
        <v>#REF!</v>
      </c>
      <c r="BL32" t="e">
        <f>IF(#REF!,"AAAAACbT/z8=",0)</f>
        <v>#REF!</v>
      </c>
      <c r="BM32" t="e">
        <f>AND(#REF!,"AAAAACbT/0A=")</f>
        <v>#REF!</v>
      </c>
      <c r="BN32" t="e">
        <f>AND(#REF!,"AAAAACbT/0E=")</f>
        <v>#REF!</v>
      </c>
      <c r="BO32" t="e">
        <f>AND(#REF!,"AAAAACbT/0I=")</f>
        <v>#REF!</v>
      </c>
      <c r="BP32" t="e">
        <f>AND(#REF!,"AAAAACbT/0M=")</f>
        <v>#REF!</v>
      </c>
      <c r="BQ32" t="e">
        <f>AND(#REF!,"AAAAACbT/0Q=")</f>
        <v>#REF!</v>
      </c>
      <c r="BR32" t="e">
        <f>AND(#REF!,"AAAAACbT/0U=")</f>
        <v>#REF!</v>
      </c>
      <c r="BS32" t="e">
        <f>AND(#REF!,"AAAAACbT/0Y=")</f>
        <v>#REF!</v>
      </c>
      <c r="BT32" t="e">
        <f>AND(#REF!,"AAAAACbT/0c=")</f>
        <v>#REF!</v>
      </c>
      <c r="BU32" t="e">
        <f>AND(#REF!,"AAAAACbT/0g=")</f>
        <v>#REF!</v>
      </c>
      <c r="BV32" t="e">
        <f>AND(#REF!,"AAAAACbT/0k=")</f>
        <v>#REF!</v>
      </c>
      <c r="BW32" t="e">
        <f>AND(#REF!,"AAAAACbT/0o=")</f>
        <v>#REF!</v>
      </c>
      <c r="BX32" t="e">
        <f>AND(#REF!,"AAAAACbT/0s=")</f>
        <v>#REF!</v>
      </c>
      <c r="BY32" t="e">
        <f>IF(#REF!,"AAAAACbT/0w=",0)</f>
        <v>#REF!</v>
      </c>
      <c r="BZ32" t="e">
        <f>AND(#REF!,"AAAAACbT/00=")</f>
        <v>#REF!</v>
      </c>
      <c r="CA32" t="e">
        <f>AND(#REF!,"AAAAACbT/04=")</f>
        <v>#REF!</v>
      </c>
      <c r="CB32" t="e">
        <f>AND(#REF!,"AAAAACbT/08=")</f>
        <v>#REF!</v>
      </c>
      <c r="CC32" t="e">
        <f>AND(#REF!,"AAAAACbT/1A=")</f>
        <v>#REF!</v>
      </c>
      <c r="CD32" t="e">
        <f>AND(#REF!,"AAAAACbT/1E=")</f>
        <v>#REF!</v>
      </c>
      <c r="CE32" t="e">
        <f>AND(#REF!,"AAAAACbT/1I=")</f>
        <v>#REF!</v>
      </c>
      <c r="CF32" t="e">
        <f>AND(#REF!,"AAAAACbT/1M=")</f>
        <v>#REF!</v>
      </c>
      <c r="CG32" t="e">
        <f>AND(#REF!,"AAAAACbT/1Q=")</f>
        <v>#REF!</v>
      </c>
      <c r="CH32" t="e">
        <f>AND(#REF!,"AAAAACbT/1U=")</f>
        <v>#REF!</v>
      </c>
      <c r="CI32" t="e">
        <f>AND(#REF!,"AAAAACbT/1Y=")</f>
        <v>#REF!</v>
      </c>
      <c r="CJ32" t="e">
        <f>AND(#REF!,"AAAAACbT/1c=")</f>
        <v>#REF!</v>
      </c>
      <c r="CK32" t="e">
        <f>AND(#REF!,"AAAAACbT/1g=")</f>
        <v>#REF!</v>
      </c>
      <c r="CL32" t="e">
        <f>IF(#REF!,"AAAAACbT/1k=",0)</f>
        <v>#REF!</v>
      </c>
      <c r="CM32" t="e">
        <f>AND(#REF!,"AAAAACbT/1o=")</f>
        <v>#REF!</v>
      </c>
      <c r="CN32" t="e">
        <f>AND(#REF!,"AAAAACbT/1s=")</f>
        <v>#REF!</v>
      </c>
      <c r="CO32" t="e">
        <f>AND(#REF!,"AAAAACbT/1w=")</f>
        <v>#REF!</v>
      </c>
      <c r="CP32" t="e">
        <f>AND(#REF!,"AAAAACbT/10=")</f>
        <v>#REF!</v>
      </c>
      <c r="CQ32" t="e">
        <f>AND(#REF!,"AAAAACbT/14=")</f>
        <v>#REF!</v>
      </c>
      <c r="CR32" t="e">
        <f>AND(#REF!,"AAAAACbT/18=")</f>
        <v>#REF!</v>
      </c>
      <c r="CS32" t="e">
        <f>AND(#REF!,"AAAAACbT/2A=")</f>
        <v>#REF!</v>
      </c>
      <c r="CT32" t="e">
        <f>AND(#REF!,"AAAAACbT/2E=")</f>
        <v>#REF!</v>
      </c>
      <c r="CU32" t="e">
        <f>AND(#REF!,"AAAAACbT/2I=")</f>
        <v>#REF!</v>
      </c>
      <c r="CV32" t="e">
        <f>AND(#REF!,"AAAAACbT/2M=")</f>
        <v>#REF!</v>
      </c>
      <c r="CW32" t="e">
        <f>AND(#REF!,"AAAAACbT/2Q=")</f>
        <v>#REF!</v>
      </c>
      <c r="CX32" t="e">
        <f>AND(#REF!,"AAAAACbT/2U=")</f>
        <v>#REF!</v>
      </c>
      <c r="CY32" t="e">
        <f>IF(#REF!,"AAAAACbT/2Y=",0)</f>
        <v>#REF!</v>
      </c>
      <c r="CZ32" t="e">
        <f>AND(#REF!,"AAAAACbT/2c=")</f>
        <v>#REF!</v>
      </c>
      <c r="DA32" t="e">
        <f>AND(#REF!,"AAAAACbT/2g=")</f>
        <v>#REF!</v>
      </c>
      <c r="DB32" t="e">
        <f>AND(#REF!,"AAAAACbT/2k=")</f>
        <v>#REF!</v>
      </c>
      <c r="DC32" t="e">
        <f>AND(#REF!,"AAAAACbT/2o=")</f>
        <v>#REF!</v>
      </c>
      <c r="DD32" t="e">
        <f>AND(#REF!,"AAAAACbT/2s=")</f>
        <v>#REF!</v>
      </c>
      <c r="DE32" t="e">
        <f>AND(#REF!,"AAAAACbT/2w=")</f>
        <v>#REF!</v>
      </c>
      <c r="DF32" t="e">
        <f>AND(#REF!,"AAAAACbT/20=")</f>
        <v>#REF!</v>
      </c>
      <c r="DG32" t="e">
        <f>AND(#REF!,"AAAAACbT/24=")</f>
        <v>#REF!</v>
      </c>
      <c r="DH32" t="e">
        <f>AND(#REF!,"AAAAACbT/28=")</f>
        <v>#REF!</v>
      </c>
      <c r="DI32" t="e">
        <f>AND(#REF!,"AAAAACbT/3A=")</f>
        <v>#REF!</v>
      </c>
      <c r="DJ32" t="e">
        <f>AND(#REF!,"AAAAACbT/3E=")</f>
        <v>#REF!</v>
      </c>
      <c r="DK32" t="e">
        <f>AND(#REF!,"AAAAACbT/3I=")</f>
        <v>#REF!</v>
      </c>
      <c r="DL32" t="e">
        <f>IF(#REF!,"AAAAACbT/3M=",0)</f>
        <v>#REF!</v>
      </c>
      <c r="DM32" t="e">
        <f>AND(#REF!,"AAAAACbT/3Q=")</f>
        <v>#REF!</v>
      </c>
      <c r="DN32" t="e">
        <f>AND(#REF!,"AAAAACbT/3U=")</f>
        <v>#REF!</v>
      </c>
      <c r="DO32" t="e">
        <f>AND(#REF!,"AAAAACbT/3Y=")</f>
        <v>#REF!</v>
      </c>
      <c r="DP32" t="e">
        <f>AND(#REF!,"AAAAACbT/3c=")</f>
        <v>#REF!</v>
      </c>
      <c r="DQ32" t="e">
        <f>AND(#REF!,"AAAAACbT/3g=")</f>
        <v>#REF!</v>
      </c>
      <c r="DR32" t="e">
        <f>AND(#REF!,"AAAAACbT/3k=")</f>
        <v>#REF!</v>
      </c>
      <c r="DS32" t="e">
        <f>AND(#REF!,"AAAAACbT/3o=")</f>
        <v>#REF!</v>
      </c>
      <c r="DT32" t="e">
        <f>AND(#REF!,"AAAAACbT/3s=")</f>
        <v>#REF!</v>
      </c>
      <c r="DU32" t="e">
        <f>AND(#REF!,"AAAAACbT/3w=")</f>
        <v>#REF!</v>
      </c>
      <c r="DV32" t="e">
        <f>AND(#REF!,"AAAAACbT/30=")</f>
        <v>#REF!</v>
      </c>
      <c r="DW32" t="e">
        <f>AND(#REF!,"AAAAACbT/34=")</f>
        <v>#REF!</v>
      </c>
      <c r="DX32" t="e">
        <f>AND(#REF!,"AAAAACbT/38=")</f>
        <v>#REF!</v>
      </c>
      <c r="DY32" t="e">
        <f>IF(#REF!,"AAAAACbT/4A=",0)</f>
        <v>#REF!</v>
      </c>
      <c r="DZ32" t="e">
        <f>AND(#REF!,"AAAAACbT/4E=")</f>
        <v>#REF!</v>
      </c>
      <c r="EA32" t="e">
        <f>AND(#REF!,"AAAAACbT/4I=")</f>
        <v>#REF!</v>
      </c>
      <c r="EB32" t="e">
        <f>AND(#REF!,"AAAAACbT/4M=")</f>
        <v>#REF!</v>
      </c>
      <c r="EC32" t="e">
        <f>AND(#REF!,"AAAAACbT/4Q=")</f>
        <v>#REF!</v>
      </c>
      <c r="ED32" t="e">
        <f>AND(#REF!,"AAAAACbT/4U=")</f>
        <v>#REF!</v>
      </c>
      <c r="EE32" t="e">
        <f>AND(#REF!,"AAAAACbT/4Y=")</f>
        <v>#REF!</v>
      </c>
      <c r="EF32" t="e">
        <f>AND(#REF!,"AAAAACbT/4c=")</f>
        <v>#REF!</v>
      </c>
      <c r="EG32" t="e">
        <f>AND(#REF!,"AAAAACbT/4g=")</f>
        <v>#REF!</v>
      </c>
      <c r="EH32" t="e">
        <f>AND(#REF!,"AAAAACbT/4k=")</f>
        <v>#REF!</v>
      </c>
      <c r="EI32" t="e">
        <f>AND(#REF!,"AAAAACbT/4o=")</f>
        <v>#REF!</v>
      </c>
      <c r="EJ32" t="e">
        <f>AND(#REF!,"AAAAACbT/4s=")</f>
        <v>#REF!</v>
      </c>
      <c r="EK32" t="e">
        <f>AND(#REF!,"AAAAACbT/4w=")</f>
        <v>#REF!</v>
      </c>
      <c r="EL32" t="e">
        <f>IF(#REF!,"AAAAACbT/40=",0)</f>
        <v>#REF!</v>
      </c>
      <c r="EM32" t="e">
        <f>AND(#REF!,"AAAAACbT/44=")</f>
        <v>#REF!</v>
      </c>
      <c r="EN32" t="e">
        <f>AND(#REF!,"AAAAACbT/48=")</f>
        <v>#REF!</v>
      </c>
      <c r="EO32" t="e">
        <f>AND(#REF!,"AAAAACbT/5A=")</f>
        <v>#REF!</v>
      </c>
      <c r="EP32" t="e">
        <f>AND(#REF!,"AAAAACbT/5E=")</f>
        <v>#REF!</v>
      </c>
      <c r="EQ32" t="e">
        <f>AND(#REF!,"AAAAACbT/5I=")</f>
        <v>#REF!</v>
      </c>
      <c r="ER32" t="e">
        <f>AND(#REF!,"AAAAACbT/5M=")</f>
        <v>#REF!</v>
      </c>
      <c r="ES32" t="e">
        <f>AND(#REF!,"AAAAACbT/5Q=")</f>
        <v>#REF!</v>
      </c>
      <c r="ET32" t="e">
        <f>AND(#REF!,"AAAAACbT/5U=")</f>
        <v>#REF!</v>
      </c>
      <c r="EU32" t="e">
        <f>AND(#REF!,"AAAAACbT/5Y=")</f>
        <v>#REF!</v>
      </c>
      <c r="EV32" t="e">
        <f>AND(#REF!,"AAAAACbT/5c=")</f>
        <v>#REF!</v>
      </c>
      <c r="EW32" t="e">
        <f>AND(#REF!,"AAAAACbT/5g=")</f>
        <v>#REF!</v>
      </c>
      <c r="EX32" t="e">
        <f>AND(#REF!,"AAAAACbT/5k=")</f>
        <v>#REF!</v>
      </c>
      <c r="EY32" t="e">
        <f>IF(#REF!,"AAAAACbT/5o=",0)</f>
        <v>#REF!</v>
      </c>
      <c r="EZ32" t="e">
        <f>AND(#REF!,"AAAAACbT/5s=")</f>
        <v>#REF!</v>
      </c>
      <c r="FA32" t="e">
        <f>AND(#REF!,"AAAAACbT/5w=")</f>
        <v>#REF!</v>
      </c>
      <c r="FB32" t="e">
        <f>AND(#REF!,"AAAAACbT/50=")</f>
        <v>#REF!</v>
      </c>
      <c r="FC32" t="e">
        <f>AND(#REF!,"AAAAACbT/54=")</f>
        <v>#REF!</v>
      </c>
      <c r="FD32" t="e">
        <f>AND(#REF!,"AAAAACbT/58=")</f>
        <v>#REF!</v>
      </c>
      <c r="FE32" t="e">
        <f>AND(#REF!,"AAAAACbT/6A=")</f>
        <v>#REF!</v>
      </c>
      <c r="FF32" t="e">
        <f>AND(#REF!,"AAAAACbT/6E=")</f>
        <v>#REF!</v>
      </c>
      <c r="FG32" t="e">
        <f>AND(#REF!,"AAAAACbT/6I=")</f>
        <v>#REF!</v>
      </c>
      <c r="FH32" t="e">
        <f>AND(#REF!,"AAAAACbT/6M=")</f>
        <v>#REF!</v>
      </c>
      <c r="FI32" t="e">
        <f>AND(#REF!,"AAAAACbT/6Q=")</f>
        <v>#REF!</v>
      </c>
      <c r="FJ32" t="e">
        <f>AND(#REF!,"AAAAACbT/6U=")</f>
        <v>#REF!</v>
      </c>
      <c r="FK32" t="e">
        <f>AND(#REF!,"AAAAACbT/6Y=")</f>
        <v>#REF!</v>
      </c>
      <c r="FL32" t="e">
        <f>IF(#REF!,"AAAAACbT/6c=",0)</f>
        <v>#REF!</v>
      </c>
      <c r="FM32" t="e">
        <f>AND(#REF!,"AAAAACbT/6g=")</f>
        <v>#REF!</v>
      </c>
      <c r="FN32" t="e">
        <f>AND(#REF!,"AAAAACbT/6k=")</f>
        <v>#REF!</v>
      </c>
      <c r="FO32" t="e">
        <f>AND(#REF!,"AAAAACbT/6o=")</f>
        <v>#REF!</v>
      </c>
      <c r="FP32" t="e">
        <f>AND(#REF!,"AAAAACbT/6s=")</f>
        <v>#REF!</v>
      </c>
      <c r="FQ32" t="e">
        <f>AND(#REF!,"AAAAACbT/6w=")</f>
        <v>#REF!</v>
      </c>
      <c r="FR32" t="e">
        <f>AND(#REF!,"AAAAACbT/60=")</f>
        <v>#REF!</v>
      </c>
      <c r="FS32" t="e">
        <f>AND(#REF!,"AAAAACbT/64=")</f>
        <v>#REF!</v>
      </c>
      <c r="FT32" t="e">
        <f>AND(#REF!,"AAAAACbT/68=")</f>
        <v>#REF!</v>
      </c>
      <c r="FU32" t="e">
        <f>AND(#REF!,"AAAAACbT/7A=")</f>
        <v>#REF!</v>
      </c>
      <c r="FV32" t="e">
        <f>AND(#REF!,"AAAAACbT/7E=")</f>
        <v>#REF!</v>
      </c>
      <c r="FW32" t="e">
        <f>AND(#REF!,"AAAAACbT/7I=")</f>
        <v>#REF!</v>
      </c>
      <c r="FX32" t="e">
        <f>AND(#REF!,"AAAAACbT/7M=")</f>
        <v>#REF!</v>
      </c>
      <c r="FY32" t="e">
        <f>IF(#REF!,"AAAAACbT/7Q=",0)</f>
        <v>#REF!</v>
      </c>
      <c r="FZ32" t="e">
        <f>AND(#REF!,"AAAAACbT/7U=")</f>
        <v>#REF!</v>
      </c>
      <c r="GA32" t="e">
        <f>AND(#REF!,"AAAAACbT/7Y=")</f>
        <v>#REF!</v>
      </c>
      <c r="GB32" t="e">
        <f>AND(#REF!,"AAAAACbT/7c=")</f>
        <v>#REF!</v>
      </c>
      <c r="GC32" t="e">
        <f>AND(#REF!,"AAAAACbT/7g=")</f>
        <v>#REF!</v>
      </c>
      <c r="GD32" t="e">
        <f>AND(#REF!,"AAAAACbT/7k=")</f>
        <v>#REF!</v>
      </c>
      <c r="GE32" t="e">
        <f>AND(#REF!,"AAAAACbT/7o=")</f>
        <v>#REF!</v>
      </c>
      <c r="GF32" t="e">
        <f>AND(#REF!,"AAAAACbT/7s=")</f>
        <v>#REF!</v>
      </c>
      <c r="GG32" t="e">
        <f>AND(#REF!,"AAAAACbT/7w=")</f>
        <v>#REF!</v>
      </c>
      <c r="GH32" t="e">
        <f>AND(#REF!,"AAAAACbT/70=")</f>
        <v>#REF!</v>
      </c>
      <c r="GI32" t="e">
        <f>AND(#REF!,"AAAAACbT/74=")</f>
        <v>#REF!</v>
      </c>
      <c r="GJ32" t="e">
        <f>AND(#REF!,"AAAAACbT/78=")</f>
        <v>#REF!</v>
      </c>
      <c r="GK32" t="e">
        <f>AND(#REF!,"AAAAACbT/8A=")</f>
        <v>#REF!</v>
      </c>
      <c r="GL32" t="e">
        <f>IF(#REF!,"AAAAACbT/8E=",0)</f>
        <v>#REF!</v>
      </c>
      <c r="GM32" t="e">
        <f>AND(#REF!,"AAAAACbT/8I=")</f>
        <v>#REF!</v>
      </c>
      <c r="GN32" t="e">
        <f>AND(#REF!,"AAAAACbT/8M=")</f>
        <v>#REF!</v>
      </c>
      <c r="GO32" t="e">
        <f>AND(#REF!,"AAAAACbT/8Q=")</f>
        <v>#REF!</v>
      </c>
      <c r="GP32" t="e">
        <f>AND(#REF!,"AAAAACbT/8U=")</f>
        <v>#REF!</v>
      </c>
      <c r="GQ32" t="e">
        <f>AND(#REF!,"AAAAACbT/8Y=")</f>
        <v>#REF!</v>
      </c>
      <c r="GR32" t="e">
        <f>AND(#REF!,"AAAAACbT/8c=")</f>
        <v>#REF!</v>
      </c>
      <c r="GS32" t="e">
        <f>AND(#REF!,"AAAAACbT/8g=")</f>
        <v>#REF!</v>
      </c>
      <c r="GT32" t="e">
        <f>AND(#REF!,"AAAAACbT/8k=")</f>
        <v>#REF!</v>
      </c>
      <c r="GU32" t="e">
        <f>AND(#REF!,"AAAAACbT/8o=")</f>
        <v>#REF!</v>
      </c>
      <c r="GV32" t="e">
        <f>AND(#REF!,"AAAAACbT/8s=")</f>
        <v>#REF!</v>
      </c>
      <c r="GW32" t="e">
        <f>AND(#REF!,"AAAAACbT/8w=")</f>
        <v>#REF!</v>
      </c>
      <c r="GX32" t="e">
        <f>AND(#REF!,"AAAAACbT/80=")</f>
        <v>#REF!</v>
      </c>
      <c r="GY32" t="e">
        <f>IF(#REF!,"AAAAACbT/84=",0)</f>
        <v>#REF!</v>
      </c>
      <c r="GZ32" t="e">
        <f>AND(#REF!,"AAAAACbT/88=")</f>
        <v>#REF!</v>
      </c>
      <c r="HA32" t="e">
        <f>AND(#REF!,"AAAAACbT/9A=")</f>
        <v>#REF!</v>
      </c>
      <c r="HB32" t="e">
        <f>AND(#REF!,"AAAAACbT/9E=")</f>
        <v>#REF!</v>
      </c>
      <c r="HC32" t="e">
        <f>AND(#REF!,"AAAAACbT/9I=")</f>
        <v>#REF!</v>
      </c>
      <c r="HD32" t="e">
        <f>AND(#REF!,"AAAAACbT/9M=")</f>
        <v>#REF!</v>
      </c>
      <c r="HE32" t="e">
        <f>AND(#REF!,"AAAAACbT/9Q=")</f>
        <v>#REF!</v>
      </c>
      <c r="HF32" t="e">
        <f>AND(#REF!,"AAAAACbT/9U=")</f>
        <v>#REF!</v>
      </c>
      <c r="HG32" t="e">
        <f>AND(#REF!,"AAAAACbT/9Y=")</f>
        <v>#REF!</v>
      </c>
      <c r="HH32" t="e">
        <f>AND(#REF!,"AAAAACbT/9c=")</f>
        <v>#REF!</v>
      </c>
      <c r="HI32" t="e">
        <f>AND(#REF!,"AAAAACbT/9g=")</f>
        <v>#REF!</v>
      </c>
      <c r="HJ32" t="e">
        <f>AND(#REF!,"AAAAACbT/9k=")</f>
        <v>#REF!</v>
      </c>
      <c r="HK32" t="e">
        <f>AND(#REF!,"AAAAACbT/9o=")</f>
        <v>#REF!</v>
      </c>
      <c r="HL32" t="e">
        <f>IF(#REF!,"AAAAACbT/9s=",0)</f>
        <v>#REF!</v>
      </c>
      <c r="HM32" t="e">
        <f>AND(#REF!,"AAAAACbT/9w=")</f>
        <v>#REF!</v>
      </c>
      <c r="HN32" t="e">
        <f>AND(#REF!,"AAAAACbT/90=")</f>
        <v>#REF!</v>
      </c>
      <c r="HO32" t="e">
        <f>AND(#REF!,"AAAAACbT/94=")</f>
        <v>#REF!</v>
      </c>
      <c r="HP32" t="e">
        <f>AND(#REF!,"AAAAACbT/98=")</f>
        <v>#REF!</v>
      </c>
      <c r="HQ32" t="e">
        <f>AND(#REF!,"AAAAACbT/+A=")</f>
        <v>#REF!</v>
      </c>
      <c r="HR32" t="e">
        <f>AND(#REF!,"AAAAACbT/+E=")</f>
        <v>#REF!</v>
      </c>
      <c r="HS32" t="e">
        <f>AND(#REF!,"AAAAACbT/+I=")</f>
        <v>#REF!</v>
      </c>
      <c r="HT32" t="e">
        <f>AND(#REF!,"AAAAACbT/+M=")</f>
        <v>#REF!</v>
      </c>
      <c r="HU32" t="e">
        <f>AND(#REF!,"AAAAACbT/+Q=")</f>
        <v>#REF!</v>
      </c>
      <c r="HV32" t="e">
        <f>AND(#REF!,"AAAAACbT/+U=")</f>
        <v>#REF!</v>
      </c>
      <c r="HW32" t="e">
        <f>AND(#REF!,"AAAAACbT/+Y=")</f>
        <v>#REF!</v>
      </c>
      <c r="HX32" t="e">
        <f>AND(#REF!,"AAAAACbT/+c=")</f>
        <v>#REF!</v>
      </c>
      <c r="HY32" t="e">
        <f>IF(#REF!,"AAAAACbT/+g=",0)</f>
        <v>#REF!</v>
      </c>
      <c r="HZ32" t="e">
        <f>AND(#REF!,"AAAAACbT/+k=")</f>
        <v>#REF!</v>
      </c>
      <c r="IA32" t="e">
        <f>AND(#REF!,"AAAAACbT/+o=")</f>
        <v>#REF!</v>
      </c>
      <c r="IB32" t="e">
        <f>AND(#REF!,"AAAAACbT/+s=")</f>
        <v>#REF!</v>
      </c>
      <c r="IC32" t="e">
        <f>AND(#REF!,"AAAAACbT/+w=")</f>
        <v>#REF!</v>
      </c>
      <c r="ID32" t="e">
        <f>AND(#REF!,"AAAAACbT/+0=")</f>
        <v>#REF!</v>
      </c>
      <c r="IE32" t="e">
        <f>AND(#REF!,"AAAAACbT/+4=")</f>
        <v>#REF!</v>
      </c>
      <c r="IF32" t="e">
        <f>AND(#REF!,"AAAAACbT/+8=")</f>
        <v>#REF!</v>
      </c>
      <c r="IG32" t="e">
        <f>AND(#REF!,"AAAAACbT//A=")</f>
        <v>#REF!</v>
      </c>
      <c r="IH32" t="e">
        <f>AND(#REF!,"AAAAACbT//E=")</f>
        <v>#REF!</v>
      </c>
      <c r="II32" t="e">
        <f>AND(#REF!,"AAAAACbT//I=")</f>
        <v>#REF!</v>
      </c>
      <c r="IJ32" t="e">
        <f>AND(#REF!,"AAAAACbT//M=")</f>
        <v>#REF!</v>
      </c>
      <c r="IK32" t="e">
        <f>AND(#REF!,"AAAAACbT//Q=")</f>
        <v>#REF!</v>
      </c>
      <c r="IL32" t="e">
        <f>IF(#REF!,"AAAAACbT//U=",0)</f>
        <v>#REF!</v>
      </c>
      <c r="IM32" t="e">
        <f>AND(#REF!,"AAAAACbT//Y=")</f>
        <v>#REF!</v>
      </c>
      <c r="IN32" t="e">
        <f>AND(#REF!,"AAAAACbT//c=")</f>
        <v>#REF!</v>
      </c>
      <c r="IO32" t="e">
        <f>AND(#REF!,"AAAAACbT//g=")</f>
        <v>#REF!</v>
      </c>
      <c r="IP32" t="e">
        <f>AND(#REF!,"AAAAACbT//k=")</f>
        <v>#REF!</v>
      </c>
      <c r="IQ32" t="e">
        <f>AND(#REF!,"AAAAACbT//o=")</f>
        <v>#REF!</v>
      </c>
      <c r="IR32" t="e">
        <f>AND(#REF!,"AAAAACbT//s=")</f>
        <v>#REF!</v>
      </c>
      <c r="IS32" t="e">
        <f>AND(#REF!,"AAAAACbT//w=")</f>
        <v>#REF!</v>
      </c>
      <c r="IT32" t="e">
        <f>AND(#REF!,"AAAAACbT//0=")</f>
        <v>#REF!</v>
      </c>
      <c r="IU32" t="e">
        <f>AND(#REF!,"AAAAACbT//4=")</f>
        <v>#REF!</v>
      </c>
      <c r="IV32" t="e">
        <f>AND(#REF!,"AAAAACbT//8=")</f>
        <v>#REF!</v>
      </c>
    </row>
    <row r="33" spans="1:256">
      <c r="A33" t="e">
        <f>AND(#REF!,"AAAAAH7/9gA=")</f>
        <v>#REF!</v>
      </c>
      <c r="B33" t="e">
        <f>AND(#REF!,"AAAAAH7/9gE=")</f>
        <v>#REF!</v>
      </c>
      <c r="C33" t="e">
        <f>IF(#REF!,"AAAAAH7/9gI=",0)</f>
        <v>#REF!</v>
      </c>
      <c r="D33" t="e">
        <f>AND(#REF!,"AAAAAH7/9gM=")</f>
        <v>#REF!</v>
      </c>
      <c r="E33" t="e">
        <f>AND(#REF!,"AAAAAH7/9gQ=")</f>
        <v>#REF!</v>
      </c>
      <c r="F33" t="e">
        <f>AND(#REF!,"AAAAAH7/9gU=")</f>
        <v>#REF!</v>
      </c>
      <c r="G33" t="e">
        <f>AND(#REF!,"AAAAAH7/9gY=")</f>
        <v>#REF!</v>
      </c>
      <c r="H33" t="e">
        <f>AND(#REF!,"AAAAAH7/9gc=")</f>
        <v>#REF!</v>
      </c>
      <c r="I33" t="e">
        <f>AND(#REF!,"AAAAAH7/9gg=")</f>
        <v>#REF!</v>
      </c>
      <c r="J33" t="e">
        <f>AND(#REF!,"AAAAAH7/9gk=")</f>
        <v>#REF!</v>
      </c>
      <c r="K33" t="e">
        <f>AND(#REF!,"AAAAAH7/9go=")</f>
        <v>#REF!</v>
      </c>
      <c r="L33" t="e">
        <f>AND(#REF!,"AAAAAH7/9gs=")</f>
        <v>#REF!</v>
      </c>
      <c r="M33" t="e">
        <f>AND(#REF!,"AAAAAH7/9gw=")</f>
        <v>#REF!</v>
      </c>
      <c r="N33" t="e">
        <f>AND(#REF!,"AAAAAH7/9g0=")</f>
        <v>#REF!</v>
      </c>
      <c r="O33" t="e">
        <f>AND(#REF!,"AAAAAH7/9g4=")</f>
        <v>#REF!</v>
      </c>
      <c r="P33" t="e">
        <f>IF(#REF!,"AAAAAH7/9g8=",0)</f>
        <v>#REF!</v>
      </c>
      <c r="Q33" t="e">
        <f>AND(#REF!,"AAAAAH7/9hA=")</f>
        <v>#REF!</v>
      </c>
      <c r="R33" t="e">
        <f>AND(#REF!,"AAAAAH7/9hE=")</f>
        <v>#REF!</v>
      </c>
      <c r="S33" t="e">
        <f>AND(#REF!,"AAAAAH7/9hI=")</f>
        <v>#REF!</v>
      </c>
      <c r="T33" t="e">
        <f>AND(#REF!,"AAAAAH7/9hM=")</f>
        <v>#REF!</v>
      </c>
      <c r="U33" t="e">
        <f>AND(#REF!,"AAAAAH7/9hQ=")</f>
        <v>#REF!</v>
      </c>
      <c r="V33" t="e">
        <f>AND(#REF!,"AAAAAH7/9hU=")</f>
        <v>#REF!</v>
      </c>
      <c r="W33" t="e">
        <f>AND(#REF!,"AAAAAH7/9hY=")</f>
        <v>#REF!</v>
      </c>
      <c r="X33" t="e">
        <f>AND(#REF!,"AAAAAH7/9hc=")</f>
        <v>#REF!</v>
      </c>
      <c r="Y33" t="e">
        <f>AND(#REF!,"AAAAAH7/9hg=")</f>
        <v>#REF!</v>
      </c>
      <c r="Z33" t="e">
        <f>AND(#REF!,"AAAAAH7/9hk=")</f>
        <v>#REF!</v>
      </c>
      <c r="AA33" t="e">
        <f>AND(#REF!,"AAAAAH7/9ho=")</f>
        <v>#REF!</v>
      </c>
      <c r="AB33" t="e">
        <f>AND(#REF!,"AAAAAH7/9hs=")</f>
        <v>#REF!</v>
      </c>
      <c r="AC33" t="e">
        <f>IF(#REF!,"AAAAAH7/9hw=",0)</f>
        <v>#REF!</v>
      </c>
      <c r="AD33" t="e">
        <f>AND(#REF!,"AAAAAH7/9h0=")</f>
        <v>#REF!</v>
      </c>
      <c r="AE33" t="e">
        <f>AND(#REF!,"AAAAAH7/9h4=")</f>
        <v>#REF!</v>
      </c>
      <c r="AF33" t="e">
        <f>AND(#REF!,"AAAAAH7/9h8=")</f>
        <v>#REF!</v>
      </c>
      <c r="AG33" t="e">
        <f>AND(#REF!,"AAAAAH7/9iA=")</f>
        <v>#REF!</v>
      </c>
      <c r="AH33" t="e">
        <f>AND(#REF!,"AAAAAH7/9iE=")</f>
        <v>#REF!</v>
      </c>
      <c r="AI33" t="e">
        <f>AND(#REF!,"AAAAAH7/9iI=")</f>
        <v>#REF!</v>
      </c>
      <c r="AJ33" t="e">
        <f>AND(#REF!,"AAAAAH7/9iM=")</f>
        <v>#REF!</v>
      </c>
      <c r="AK33" t="e">
        <f>AND(#REF!,"AAAAAH7/9iQ=")</f>
        <v>#REF!</v>
      </c>
      <c r="AL33" t="e">
        <f>AND(#REF!,"AAAAAH7/9iU=")</f>
        <v>#REF!</v>
      </c>
      <c r="AM33" t="e">
        <f>AND(#REF!,"AAAAAH7/9iY=")</f>
        <v>#REF!</v>
      </c>
      <c r="AN33" t="e">
        <f>AND(#REF!,"AAAAAH7/9ic=")</f>
        <v>#REF!</v>
      </c>
      <c r="AO33" t="e">
        <f>AND(#REF!,"AAAAAH7/9ig=")</f>
        <v>#REF!</v>
      </c>
      <c r="AP33" t="e">
        <f>IF(#REF!,"AAAAAH7/9ik=",0)</f>
        <v>#REF!</v>
      </c>
      <c r="AQ33" t="e">
        <f>AND(#REF!,"AAAAAH7/9io=")</f>
        <v>#REF!</v>
      </c>
      <c r="AR33" t="e">
        <f>AND(#REF!,"AAAAAH7/9is=")</f>
        <v>#REF!</v>
      </c>
      <c r="AS33" t="e">
        <f>AND(#REF!,"AAAAAH7/9iw=")</f>
        <v>#REF!</v>
      </c>
      <c r="AT33" t="e">
        <f>AND(#REF!,"AAAAAH7/9i0=")</f>
        <v>#REF!</v>
      </c>
      <c r="AU33" t="e">
        <f>AND(#REF!,"AAAAAH7/9i4=")</f>
        <v>#REF!</v>
      </c>
      <c r="AV33" t="e">
        <f>AND(#REF!,"AAAAAH7/9i8=")</f>
        <v>#REF!</v>
      </c>
      <c r="AW33" t="e">
        <f>AND(#REF!,"AAAAAH7/9jA=")</f>
        <v>#REF!</v>
      </c>
      <c r="AX33" t="e">
        <f>AND(#REF!,"AAAAAH7/9jE=")</f>
        <v>#REF!</v>
      </c>
      <c r="AY33" t="e">
        <f>AND(#REF!,"AAAAAH7/9jI=")</f>
        <v>#REF!</v>
      </c>
      <c r="AZ33" t="e">
        <f>AND(#REF!,"AAAAAH7/9jM=")</f>
        <v>#REF!</v>
      </c>
      <c r="BA33" t="e">
        <f>AND(#REF!,"AAAAAH7/9jQ=")</f>
        <v>#REF!</v>
      </c>
      <c r="BB33" t="e">
        <f>AND(#REF!,"AAAAAH7/9jU=")</f>
        <v>#REF!</v>
      </c>
      <c r="BC33" t="e">
        <f>IF(#REF!,"AAAAAH7/9jY=",0)</f>
        <v>#REF!</v>
      </c>
      <c r="BD33" t="e">
        <f>AND(#REF!,"AAAAAH7/9jc=")</f>
        <v>#REF!</v>
      </c>
      <c r="BE33" t="e">
        <f>AND(#REF!,"AAAAAH7/9jg=")</f>
        <v>#REF!</v>
      </c>
      <c r="BF33" t="e">
        <f>AND(#REF!,"AAAAAH7/9jk=")</f>
        <v>#REF!</v>
      </c>
      <c r="BG33" t="e">
        <f>AND(#REF!,"AAAAAH7/9jo=")</f>
        <v>#REF!</v>
      </c>
      <c r="BH33" t="e">
        <f>AND(#REF!,"AAAAAH7/9js=")</f>
        <v>#REF!</v>
      </c>
      <c r="BI33" t="e">
        <f>AND(#REF!,"AAAAAH7/9jw=")</f>
        <v>#REF!</v>
      </c>
      <c r="BJ33" t="e">
        <f>AND(#REF!,"AAAAAH7/9j0=")</f>
        <v>#REF!</v>
      </c>
      <c r="BK33" t="e">
        <f>AND(#REF!,"AAAAAH7/9j4=")</f>
        <v>#REF!</v>
      </c>
      <c r="BL33" t="e">
        <f>AND(#REF!,"AAAAAH7/9j8=")</f>
        <v>#REF!</v>
      </c>
      <c r="BM33" t="e">
        <f>AND(#REF!,"AAAAAH7/9kA=")</f>
        <v>#REF!</v>
      </c>
      <c r="BN33" t="e">
        <f>AND(#REF!,"AAAAAH7/9kE=")</f>
        <v>#REF!</v>
      </c>
      <c r="BO33" t="e">
        <f>AND(#REF!,"AAAAAH7/9kI=")</f>
        <v>#REF!</v>
      </c>
      <c r="BP33" t="e">
        <f>IF(#REF!,"AAAAAH7/9kM=",0)</f>
        <v>#REF!</v>
      </c>
      <c r="BQ33" t="e">
        <f>AND(#REF!,"AAAAAH7/9kQ=")</f>
        <v>#REF!</v>
      </c>
      <c r="BR33" t="e">
        <f>AND(#REF!,"AAAAAH7/9kU=")</f>
        <v>#REF!</v>
      </c>
      <c r="BS33" t="e">
        <f>AND(#REF!,"AAAAAH7/9kY=")</f>
        <v>#REF!</v>
      </c>
      <c r="BT33" t="e">
        <f>AND(#REF!,"AAAAAH7/9kc=")</f>
        <v>#REF!</v>
      </c>
      <c r="BU33" t="e">
        <f>AND(#REF!,"AAAAAH7/9kg=")</f>
        <v>#REF!</v>
      </c>
      <c r="BV33" t="e">
        <f>AND(#REF!,"AAAAAH7/9kk=")</f>
        <v>#REF!</v>
      </c>
      <c r="BW33" t="e">
        <f>AND(#REF!,"AAAAAH7/9ko=")</f>
        <v>#REF!</v>
      </c>
      <c r="BX33" t="e">
        <f>AND(#REF!,"AAAAAH7/9ks=")</f>
        <v>#REF!</v>
      </c>
      <c r="BY33" t="e">
        <f>AND(#REF!,"AAAAAH7/9kw=")</f>
        <v>#REF!</v>
      </c>
      <c r="BZ33" t="e">
        <f>AND(#REF!,"AAAAAH7/9k0=")</f>
        <v>#REF!</v>
      </c>
      <c r="CA33" t="e">
        <f>AND(#REF!,"AAAAAH7/9k4=")</f>
        <v>#REF!</v>
      </c>
      <c r="CB33" t="e">
        <f>AND(#REF!,"AAAAAH7/9k8=")</f>
        <v>#REF!</v>
      </c>
      <c r="CC33" t="e">
        <f>IF(#REF!,"AAAAAH7/9lA=",0)</f>
        <v>#REF!</v>
      </c>
      <c r="CD33" t="e">
        <f>AND(#REF!,"AAAAAH7/9lE=")</f>
        <v>#REF!</v>
      </c>
      <c r="CE33" t="e">
        <f>AND(#REF!,"AAAAAH7/9lI=")</f>
        <v>#REF!</v>
      </c>
      <c r="CF33" t="e">
        <f>AND(#REF!,"AAAAAH7/9lM=")</f>
        <v>#REF!</v>
      </c>
      <c r="CG33" t="e">
        <f>AND(#REF!,"AAAAAH7/9lQ=")</f>
        <v>#REF!</v>
      </c>
      <c r="CH33" t="e">
        <f>AND(#REF!,"AAAAAH7/9lU=")</f>
        <v>#REF!</v>
      </c>
      <c r="CI33" t="e">
        <f>AND(#REF!,"AAAAAH7/9lY=")</f>
        <v>#REF!</v>
      </c>
      <c r="CJ33" t="e">
        <f>AND(#REF!,"AAAAAH7/9lc=")</f>
        <v>#REF!</v>
      </c>
      <c r="CK33" t="e">
        <f>AND(#REF!,"AAAAAH7/9lg=")</f>
        <v>#REF!</v>
      </c>
      <c r="CL33" t="e">
        <f>AND(#REF!,"AAAAAH7/9lk=")</f>
        <v>#REF!</v>
      </c>
      <c r="CM33" t="e">
        <f>AND(#REF!,"AAAAAH7/9lo=")</f>
        <v>#REF!</v>
      </c>
      <c r="CN33" t="e">
        <f>AND(#REF!,"AAAAAH7/9ls=")</f>
        <v>#REF!</v>
      </c>
      <c r="CO33" t="e">
        <f>AND(#REF!,"AAAAAH7/9lw=")</f>
        <v>#REF!</v>
      </c>
      <c r="CP33" t="e">
        <f>IF(#REF!,"AAAAAH7/9l0=",0)</f>
        <v>#REF!</v>
      </c>
      <c r="CQ33" t="e">
        <f>AND(#REF!,"AAAAAH7/9l4=")</f>
        <v>#REF!</v>
      </c>
      <c r="CR33" t="e">
        <f>AND(#REF!,"AAAAAH7/9l8=")</f>
        <v>#REF!</v>
      </c>
      <c r="CS33" t="e">
        <f>AND(#REF!,"AAAAAH7/9mA=")</f>
        <v>#REF!</v>
      </c>
      <c r="CT33" t="e">
        <f>AND(#REF!,"AAAAAH7/9mE=")</f>
        <v>#REF!</v>
      </c>
      <c r="CU33" t="e">
        <f>AND(#REF!,"AAAAAH7/9mI=")</f>
        <v>#REF!</v>
      </c>
      <c r="CV33" t="e">
        <f>AND(#REF!,"AAAAAH7/9mM=")</f>
        <v>#REF!</v>
      </c>
      <c r="CW33" t="e">
        <f>AND(#REF!,"AAAAAH7/9mQ=")</f>
        <v>#REF!</v>
      </c>
      <c r="CX33" t="e">
        <f>AND(#REF!,"AAAAAH7/9mU=")</f>
        <v>#REF!</v>
      </c>
      <c r="CY33" t="e">
        <f>AND(#REF!,"AAAAAH7/9mY=")</f>
        <v>#REF!</v>
      </c>
      <c r="CZ33" t="e">
        <f>AND(#REF!,"AAAAAH7/9mc=")</f>
        <v>#REF!</v>
      </c>
      <c r="DA33" t="e">
        <f>AND(#REF!,"AAAAAH7/9mg=")</f>
        <v>#REF!</v>
      </c>
      <c r="DB33" t="e">
        <f>AND(#REF!,"AAAAAH7/9mk=")</f>
        <v>#REF!</v>
      </c>
      <c r="DC33" t="e">
        <f>IF(#REF!,"AAAAAH7/9mo=",0)</f>
        <v>#REF!</v>
      </c>
      <c r="DD33" t="e">
        <f>AND(#REF!,"AAAAAH7/9ms=")</f>
        <v>#REF!</v>
      </c>
      <c r="DE33" t="e">
        <f>AND(#REF!,"AAAAAH7/9mw=")</f>
        <v>#REF!</v>
      </c>
      <c r="DF33" t="e">
        <f>AND(#REF!,"AAAAAH7/9m0=")</f>
        <v>#REF!</v>
      </c>
      <c r="DG33" t="e">
        <f>AND(#REF!,"AAAAAH7/9m4=")</f>
        <v>#REF!</v>
      </c>
      <c r="DH33" t="e">
        <f>AND(#REF!,"AAAAAH7/9m8=")</f>
        <v>#REF!</v>
      </c>
      <c r="DI33" t="e">
        <f>AND(#REF!,"AAAAAH7/9nA=")</f>
        <v>#REF!</v>
      </c>
      <c r="DJ33" t="e">
        <f>AND(#REF!,"AAAAAH7/9nE=")</f>
        <v>#REF!</v>
      </c>
      <c r="DK33" t="e">
        <f>AND(#REF!,"AAAAAH7/9nI=")</f>
        <v>#REF!</v>
      </c>
      <c r="DL33" t="e">
        <f>AND(#REF!,"AAAAAH7/9nM=")</f>
        <v>#REF!</v>
      </c>
      <c r="DM33" t="e">
        <f>AND(#REF!,"AAAAAH7/9nQ=")</f>
        <v>#REF!</v>
      </c>
      <c r="DN33" t="e">
        <f>AND(#REF!,"AAAAAH7/9nU=")</f>
        <v>#REF!</v>
      </c>
      <c r="DO33" t="e">
        <f>AND(#REF!,"AAAAAH7/9nY=")</f>
        <v>#REF!</v>
      </c>
      <c r="DP33" t="e">
        <f>IF(#REF!,"AAAAAH7/9nc=",0)</f>
        <v>#REF!</v>
      </c>
      <c r="DQ33" t="e">
        <f>AND(#REF!,"AAAAAH7/9ng=")</f>
        <v>#REF!</v>
      </c>
      <c r="DR33" t="e">
        <f>AND(#REF!,"AAAAAH7/9nk=")</f>
        <v>#REF!</v>
      </c>
      <c r="DS33" t="e">
        <f>AND(#REF!,"AAAAAH7/9no=")</f>
        <v>#REF!</v>
      </c>
      <c r="DT33" t="e">
        <f>AND(#REF!,"AAAAAH7/9ns=")</f>
        <v>#REF!</v>
      </c>
      <c r="DU33" t="e">
        <f>AND(#REF!,"AAAAAH7/9nw=")</f>
        <v>#REF!</v>
      </c>
      <c r="DV33" t="e">
        <f>AND(#REF!,"AAAAAH7/9n0=")</f>
        <v>#REF!</v>
      </c>
      <c r="DW33" t="e">
        <f>AND(#REF!,"AAAAAH7/9n4=")</f>
        <v>#REF!</v>
      </c>
      <c r="DX33" t="e">
        <f>AND(#REF!,"AAAAAH7/9n8=")</f>
        <v>#REF!</v>
      </c>
      <c r="DY33" t="e">
        <f>AND(#REF!,"AAAAAH7/9oA=")</f>
        <v>#REF!</v>
      </c>
      <c r="DZ33" t="e">
        <f>AND(#REF!,"AAAAAH7/9oE=")</f>
        <v>#REF!</v>
      </c>
      <c r="EA33" t="e">
        <f>AND(#REF!,"AAAAAH7/9oI=")</f>
        <v>#REF!</v>
      </c>
      <c r="EB33" t="e">
        <f>AND(#REF!,"AAAAAH7/9oM=")</f>
        <v>#REF!</v>
      </c>
      <c r="EC33" t="e">
        <f>IF(#REF!,"AAAAAH7/9oQ=",0)</f>
        <v>#REF!</v>
      </c>
      <c r="ED33" t="e">
        <f>AND(#REF!,"AAAAAH7/9oU=")</f>
        <v>#REF!</v>
      </c>
      <c r="EE33" t="e">
        <f>AND(#REF!,"AAAAAH7/9oY=")</f>
        <v>#REF!</v>
      </c>
      <c r="EF33" t="e">
        <f>AND(#REF!,"AAAAAH7/9oc=")</f>
        <v>#REF!</v>
      </c>
      <c r="EG33" t="e">
        <f>AND(#REF!,"AAAAAH7/9og=")</f>
        <v>#REF!</v>
      </c>
      <c r="EH33" t="e">
        <f>AND(#REF!,"AAAAAH7/9ok=")</f>
        <v>#REF!</v>
      </c>
      <c r="EI33" t="e">
        <f>AND(#REF!,"AAAAAH7/9oo=")</f>
        <v>#REF!</v>
      </c>
      <c r="EJ33" t="e">
        <f>AND(#REF!,"AAAAAH7/9os=")</f>
        <v>#REF!</v>
      </c>
      <c r="EK33" t="e">
        <f>AND(#REF!,"AAAAAH7/9ow=")</f>
        <v>#REF!</v>
      </c>
      <c r="EL33" t="e">
        <f>AND(#REF!,"AAAAAH7/9o0=")</f>
        <v>#REF!</v>
      </c>
      <c r="EM33" t="e">
        <f>AND(#REF!,"AAAAAH7/9o4=")</f>
        <v>#REF!</v>
      </c>
      <c r="EN33" t="e">
        <f>AND(#REF!,"AAAAAH7/9o8=")</f>
        <v>#REF!</v>
      </c>
      <c r="EO33" t="e">
        <f>AND(#REF!,"AAAAAH7/9pA=")</f>
        <v>#REF!</v>
      </c>
      <c r="EP33" t="e">
        <f>IF(#REF!,"AAAAAH7/9pE=",0)</f>
        <v>#REF!</v>
      </c>
      <c r="EQ33" t="e">
        <f>AND(#REF!,"AAAAAH7/9pI=")</f>
        <v>#REF!</v>
      </c>
      <c r="ER33" t="e">
        <f>AND(#REF!,"AAAAAH7/9pM=")</f>
        <v>#REF!</v>
      </c>
      <c r="ES33" t="e">
        <f>AND(#REF!,"AAAAAH7/9pQ=")</f>
        <v>#REF!</v>
      </c>
      <c r="ET33" t="e">
        <f>AND(#REF!,"AAAAAH7/9pU=")</f>
        <v>#REF!</v>
      </c>
      <c r="EU33" t="e">
        <f>AND(#REF!,"AAAAAH7/9pY=")</f>
        <v>#REF!</v>
      </c>
      <c r="EV33" t="e">
        <f>AND(#REF!,"AAAAAH7/9pc=")</f>
        <v>#REF!</v>
      </c>
      <c r="EW33" t="e">
        <f>AND(#REF!,"AAAAAH7/9pg=")</f>
        <v>#REF!</v>
      </c>
      <c r="EX33" t="e">
        <f>AND(#REF!,"AAAAAH7/9pk=")</f>
        <v>#REF!</v>
      </c>
      <c r="EY33" t="e">
        <f>AND(#REF!,"AAAAAH7/9po=")</f>
        <v>#REF!</v>
      </c>
      <c r="EZ33" t="e">
        <f>AND(#REF!,"AAAAAH7/9ps=")</f>
        <v>#REF!</v>
      </c>
      <c r="FA33" t="e">
        <f>AND(#REF!,"AAAAAH7/9pw=")</f>
        <v>#REF!</v>
      </c>
      <c r="FB33" t="e">
        <f>AND(#REF!,"AAAAAH7/9p0=")</f>
        <v>#REF!</v>
      </c>
      <c r="FC33" t="e">
        <f>IF(#REF!,"AAAAAH7/9p4=",0)</f>
        <v>#REF!</v>
      </c>
      <c r="FD33" t="e">
        <f>AND(#REF!,"AAAAAH7/9p8=")</f>
        <v>#REF!</v>
      </c>
      <c r="FE33" t="e">
        <f>AND(#REF!,"AAAAAH7/9qA=")</f>
        <v>#REF!</v>
      </c>
      <c r="FF33" t="e">
        <f>AND(#REF!,"AAAAAH7/9qE=")</f>
        <v>#REF!</v>
      </c>
      <c r="FG33" t="e">
        <f>AND(#REF!,"AAAAAH7/9qI=")</f>
        <v>#REF!</v>
      </c>
      <c r="FH33" t="e">
        <f>AND(#REF!,"AAAAAH7/9qM=")</f>
        <v>#REF!</v>
      </c>
      <c r="FI33" t="e">
        <f>AND(#REF!,"AAAAAH7/9qQ=")</f>
        <v>#REF!</v>
      </c>
      <c r="FJ33" t="e">
        <f>AND(#REF!,"AAAAAH7/9qU=")</f>
        <v>#REF!</v>
      </c>
      <c r="FK33" t="e">
        <f>AND(#REF!,"AAAAAH7/9qY=")</f>
        <v>#REF!</v>
      </c>
      <c r="FL33" t="e">
        <f>AND(#REF!,"AAAAAH7/9qc=")</f>
        <v>#REF!</v>
      </c>
      <c r="FM33" t="e">
        <f>AND(#REF!,"AAAAAH7/9qg=")</f>
        <v>#REF!</v>
      </c>
      <c r="FN33" t="e">
        <f>AND(#REF!,"AAAAAH7/9qk=")</f>
        <v>#REF!</v>
      </c>
      <c r="FO33" t="e">
        <f>AND(#REF!,"AAAAAH7/9qo=")</f>
        <v>#REF!</v>
      </c>
      <c r="FP33" t="e">
        <f>IF(#REF!,"AAAAAH7/9qs=",0)</f>
        <v>#REF!</v>
      </c>
      <c r="FQ33" t="e">
        <f>AND(#REF!,"AAAAAH7/9qw=")</f>
        <v>#REF!</v>
      </c>
      <c r="FR33" t="e">
        <f>AND(#REF!,"AAAAAH7/9q0=")</f>
        <v>#REF!</v>
      </c>
      <c r="FS33" t="e">
        <f>AND(#REF!,"AAAAAH7/9q4=")</f>
        <v>#REF!</v>
      </c>
      <c r="FT33" t="e">
        <f>AND(#REF!,"AAAAAH7/9q8=")</f>
        <v>#REF!</v>
      </c>
      <c r="FU33" t="e">
        <f>AND(#REF!,"AAAAAH7/9rA=")</f>
        <v>#REF!</v>
      </c>
      <c r="FV33" t="e">
        <f>AND(#REF!,"AAAAAH7/9rE=")</f>
        <v>#REF!</v>
      </c>
      <c r="FW33" t="e">
        <f>AND(#REF!,"AAAAAH7/9rI=")</f>
        <v>#REF!</v>
      </c>
      <c r="FX33" t="e">
        <f>AND(#REF!,"AAAAAH7/9rM=")</f>
        <v>#REF!</v>
      </c>
      <c r="FY33" t="e">
        <f>AND(#REF!,"AAAAAH7/9rQ=")</f>
        <v>#REF!</v>
      </c>
      <c r="FZ33" t="e">
        <f>AND(#REF!,"AAAAAH7/9rU=")</f>
        <v>#REF!</v>
      </c>
      <c r="GA33" t="e">
        <f>AND(#REF!,"AAAAAH7/9rY=")</f>
        <v>#REF!</v>
      </c>
      <c r="GB33" t="e">
        <f>AND(#REF!,"AAAAAH7/9rc=")</f>
        <v>#REF!</v>
      </c>
      <c r="GC33" t="e">
        <f>IF(#REF!,"AAAAAH7/9rg=",0)</f>
        <v>#REF!</v>
      </c>
      <c r="GD33" t="e">
        <f>AND(#REF!,"AAAAAH7/9rk=")</f>
        <v>#REF!</v>
      </c>
      <c r="GE33" t="e">
        <f>AND(#REF!,"AAAAAH7/9ro=")</f>
        <v>#REF!</v>
      </c>
      <c r="GF33" t="e">
        <f>AND(#REF!,"AAAAAH7/9rs=")</f>
        <v>#REF!</v>
      </c>
      <c r="GG33" t="e">
        <f>AND(#REF!,"AAAAAH7/9rw=")</f>
        <v>#REF!</v>
      </c>
      <c r="GH33" t="e">
        <f>AND(#REF!,"AAAAAH7/9r0=")</f>
        <v>#REF!</v>
      </c>
      <c r="GI33" t="e">
        <f>AND(#REF!,"AAAAAH7/9r4=")</f>
        <v>#REF!</v>
      </c>
      <c r="GJ33" t="e">
        <f>AND(#REF!,"AAAAAH7/9r8=")</f>
        <v>#REF!</v>
      </c>
      <c r="GK33" t="e">
        <f>AND(#REF!,"AAAAAH7/9sA=")</f>
        <v>#REF!</v>
      </c>
      <c r="GL33" t="e">
        <f>AND(#REF!,"AAAAAH7/9sE=")</f>
        <v>#REF!</v>
      </c>
      <c r="GM33" t="e">
        <f>AND(#REF!,"AAAAAH7/9sI=")</f>
        <v>#REF!</v>
      </c>
      <c r="GN33" t="e">
        <f>AND(#REF!,"AAAAAH7/9sM=")</f>
        <v>#REF!</v>
      </c>
      <c r="GO33" t="e">
        <f>AND(#REF!,"AAAAAH7/9sQ=")</f>
        <v>#REF!</v>
      </c>
      <c r="GP33" t="e">
        <f>IF(#REF!,"AAAAAH7/9sU=",0)</f>
        <v>#REF!</v>
      </c>
      <c r="GQ33" t="e">
        <f>AND(#REF!,"AAAAAH7/9sY=")</f>
        <v>#REF!</v>
      </c>
      <c r="GR33" t="e">
        <f>AND(#REF!,"AAAAAH7/9sc=")</f>
        <v>#REF!</v>
      </c>
      <c r="GS33" t="e">
        <f>AND(#REF!,"AAAAAH7/9sg=")</f>
        <v>#REF!</v>
      </c>
      <c r="GT33" t="e">
        <f>AND(#REF!,"AAAAAH7/9sk=")</f>
        <v>#REF!</v>
      </c>
      <c r="GU33" t="e">
        <f>AND(#REF!,"AAAAAH7/9so=")</f>
        <v>#REF!</v>
      </c>
      <c r="GV33" t="e">
        <f>AND(#REF!,"AAAAAH7/9ss=")</f>
        <v>#REF!</v>
      </c>
      <c r="GW33" t="e">
        <f>AND(#REF!,"AAAAAH7/9sw=")</f>
        <v>#REF!</v>
      </c>
      <c r="GX33" t="e">
        <f>AND(#REF!,"AAAAAH7/9s0=")</f>
        <v>#REF!</v>
      </c>
      <c r="GY33" t="e">
        <f>AND(#REF!,"AAAAAH7/9s4=")</f>
        <v>#REF!</v>
      </c>
      <c r="GZ33" t="e">
        <f>AND(#REF!,"AAAAAH7/9s8=")</f>
        <v>#REF!</v>
      </c>
      <c r="HA33" t="e">
        <f>AND(#REF!,"AAAAAH7/9tA=")</f>
        <v>#REF!</v>
      </c>
      <c r="HB33" t="e">
        <f>AND(#REF!,"AAAAAH7/9tE=")</f>
        <v>#REF!</v>
      </c>
      <c r="HC33" t="e">
        <f>IF(#REF!,"AAAAAH7/9tI=",0)</f>
        <v>#REF!</v>
      </c>
      <c r="HD33" t="e">
        <f>AND(#REF!,"AAAAAH7/9tM=")</f>
        <v>#REF!</v>
      </c>
      <c r="HE33" t="e">
        <f>AND(#REF!,"AAAAAH7/9tQ=")</f>
        <v>#REF!</v>
      </c>
      <c r="HF33" t="e">
        <f>AND(#REF!,"AAAAAH7/9tU=")</f>
        <v>#REF!</v>
      </c>
      <c r="HG33" t="e">
        <f>AND(#REF!,"AAAAAH7/9tY=")</f>
        <v>#REF!</v>
      </c>
      <c r="HH33" t="e">
        <f>AND(#REF!,"AAAAAH7/9tc=")</f>
        <v>#REF!</v>
      </c>
      <c r="HI33" t="e">
        <f>AND(#REF!,"AAAAAH7/9tg=")</f>
        <v>#REF!</v>
      </c>
      <c r="HJ33" t="e">
        <f>AND(#REF!,"AAAAAH7/9tk=")</f>
        <v>#REF!</v>
      </c>
      <c r="HK33" t="e">
        <f>AND(#REF!,"AAAAAH7/9to=")</f>
        <v>#REF!</v>
      </c>
      <c r="HL33" t="e">
        <f>AND(#REF!,"AAAAAH7/9ts=")</f>
        <v>#REF!</v>
      </c>
      <c r="HM33" t="e">
        <f>AND(#REF!,"AAAAAH7/9tw=")</f>
        <v>#REF!</v>
      </c>
      <c r="HN33" t="e">
        <f>AND(#REF!,"AAAAAH7/9t0=")</f>
        <v>#REF!</v>
      </c>
      <c r="HO33" t="e">
        <f>AND(#REF!,"AAAAAH7/9t4=")</f>
        <v>#REF!</v>
      </c>
      <c r="HP33" t="e">
        <f>IF(#REF!,"AAAAAH7/9t8=",0)</f>
        <v>#REF!</v>
      </c>
      <c r="HQ33" t="e">
        <f>AND(#REF!,"AAAAAH7/9uA=")</f>
        <v>#REF!</v>
      </c>
      <c r="HR33" t="e">
        <f>AND(#REF!,"AAAAAH7/9uE=")</f>
        <v>#REF!</v>
      </c>
      <c r="HS33" t="e">
        <f>AND(#REF!,"AAAAAH7/9uI=")</f>
        <v>#REF!</v>
      </c>
      <c r="HT33" t="e">
        <f>AND(#REF!,"AAAAAH7/9uM=")</f>
        <v>#REF!</v>
      </c>
      <c r="HU33" t="e">
        <f>AND(#REF!,"AAAAAH7/9uQ=")</f>
        <v>#REF!</v>
      </c>
      <c r="HV33" t="e">
        <f>AND(#REF!,"AAAAAH7/9uU=")</f>
        <v>#REF!</v>
      </c>
      <c r="HW33" t="e">
        <f>AND(#REF!,"AAAAAH7/9uY=")</f>
        <v>#REF!</v>
      </c>
      <c r="HX33" t="e">
        <f>AND(#REF!,"AAAAAH7/9uc=")</f>
        <v>#REF!</v>
      </c>
      <c r="HY33" t="e">
        <f>AND(#REF!,"AAAAAH7/9ug=")</f>
        <v>#REF!</v>
      </c>
      <c r="HZ33" t="e">
        <f>AND(#REF!,"AAAAAH7/9uk=")</f>
        <v>#REF!</v>
      </c>
      <c r="IA33" t="e">
        <f>AND(#REF!,"AAAAAH7/9uo=")</f>
        <v>#REF!</v>
      </c>
      <c r="IB33" t="e">
        <f>AND(#REF!,"AAAAAH7/9us=")</f>
        <v>#REF!</v>
      </c>
      <c r="IC33" t="e">
        <f>IF(#REF!,"AAAAAH7/9uw=",0)</f>
        <v>#REF!</v>
      </c>
      <c r="ID33" t="e">
        <f>AND(#REF!,"AAAAAH7/9u0=")</f>
        <v>#REF!</v>
      </c>
      <c r="IE33" t="e">
        <f>AND(#REF!,"AAAAAH7/9u4=")</f>
        <v>#REF!</v>
      </c>
      <c r="IF33" t="e">
        <f>AND(#REF!,"AAAAAH7/9u8=")</f>
        <v>#REF!</v>
      </c>
      <c r="IG33" t="e">
        <f>AND(#REF!,"AAAAAH7/9vA=")</f>
        <v>#REF!</v>
      </c>
      <c r="IH33" t="e">
        <f>AND(#REF!,"AAAAAH7/9vE=")</f>
        <v>#REF!</v>
      </c>
      <c r="II33" t="e">
        <f>AND(#REF!,"AAAAAH7/9vI=")</f>
        <v>#REF!</v>
      </c>
      <c r="IJ33" t="e">
        <f>AND(#REF!,"AAAAAH7/9vM=")</f>
        <v>#REF!</v>
      </c>
      <c r="IK33" t="e">
        <f>AND(#REF!,"AAAAAH7/9vQ=")</f>
        <v>#REF!</v>
      </c>
      <c r="IL33" t="e">
        <f>AND(#REF!,"AAAAAH7/9vU=")</f>
        <v>#REF!</v>
      </c>
      <c r="IM33" t="e">
        <f>AND(#REF!,"AAAAAH7/9vY=")</f>
        <v>#REF!</v>
      </c>
      <c r="IN33" t="e">
        <f>AND(#REF!,"AAAAAH7/9vc=")</f>
        <v>#REF!</v>
      </c>
      <c r="IO33" t="e">
        <f>AND(#REF!,"AAAAAH7/9vg=")</f>
        <v>#REF!</v>
      </c>
      <c r="IP33" t="e">
        <f>IF(#REF!,"AAAAAH7/9vk=",0)</f>
        <v>#REF!</v>
      </c>
      <c r="IQ33" t="e">
        <f>AND(#REF!,"AAAAAH7/9vo=")</f>
        <v>#REF!</v>
      </c>
      <c r="IR33" t="e">
        <f>AND(#REF!,"AAAAAH7/9vs=")</f>
        <v>#REF!</v>
      </c>
      <c r="IS33" t="e">
        <f>AND(#REF!,"AAAAAH7/9vw=")</f>
        <v>#REF!</v>
      </c>
      <c r="IT33" t="e">
        <f>AND(#REF!,"AAAAAH7/9v0=")</f>
        <v>#REF!</v>
      </c>
      <c r="IU33" t="e">
        <f>AND(#REF!,"AAAAAH7/9v4=")</f>
        <v>#REF!</v>
      </c>
      <c r="IV33" t="e">
        <f>AND(#REF!,"AAAAAH7/9v8=")</f>
        <v>#REF!</v>
      </c>
    </row>
    <row r="34" spans="1:256">
      <c r="A34" t="e">
        <f>AND(#REF!,"AAAAAHf+dwA=")</f>
        <v>#REF!</v>
      </c>
      <c r="B34" t="e">
        <f>AND(#REF!,"AAAAAHf+dwE=")</f>
        <v>#REF!</v>
      </c>
      <c r="C34" t="e">
        <f>AND(#REF!,"AAAAAHf+dwI=")</f>
        <v>#REF!</v>
      </c>
      <c r="D34" t="e">
        <f>AND(#REF!,"AAAAAHf+dwM=")</f>
        <v>#REF!</v>
      </c>
      <c r="E34" t="e">
        <f>AND(#REF!,"AAAAAHf+dwQ=")</f>
        <v>#REF!</v>
      </c>
      <c r="F34" t="e">
        <f>AND(#REF!,"AAAAAHf+dwU=")</f>
        <v>#REF!</v>
      </c>
      <c r="G34" t="e">
        <f>IF(#REF!,"AAAAAHf+dwY=",0)</f>
        <v>#REF!</v>
      </c>
      <c r="H34" t="e">
        <f>AND(#REF!,"AAAAAHf+dwc=")</f>
        <v>#REF!</v>
      </c>
      <c r="I34" t="e">
        <f>AND(#REF!,"AAAAAHf+dwg=")</f>
        <v>#REF!</v>
      </c>
      <c r="J34" t="e">
        <f>AND(#REF!,"AAAAAHf+dwk=")</f>
        <v>#REF!</v>
      </c>
      <c r="K34" t="e">
        <f>AND(#REF!,"AAAAAHf+dwo=")</f>
        <v>#REF!</v>
      </c>
      <c r="L34" t="e">
        <f>AND(#REF!,"AAAAAHf+dws=")</f>
        <v>#REF!</v>
      </c>
      <c r="M34" t="e">
        <f>AND(#REF!,"AAAAAHf+dww=")</f>
        <v>#REF!</v>
      </c>
      <c r="N34" t="e">
        <f>AND(#REF!,"AAAAAHf+dw0=")</f>
        <v>#REF!</v>
      </c>
      <c r="O34" t="e">
        <f>AND(#REF!,"AAAAAHf+dw4=")</f>
        <v>#REF!</v>
      </c>
      <c r="P34" t="e">
        <f>AND(#REF!,"AAAAAHf+dw8=")</f>
        <v>#REF!</v>
      </c>
      <c r="Q34" t="e">
        <f>AND(#REF!,"AAAAAHf+dxA=")</f>
        <v>#REF!</v>
      </c>
      <c r="R34" t="e">
        <f>AND(#REF!,"AAAAAHf+dxE=")</f>
        <v>#REF!</v>
      </c>
      <c r="S34" t="e">
        <f>AND(#REF!,"AAAAAHf+dxI=")</f>
        <v>#REF!</v>
      </c>
      <c r="T34" t="e">
        <f>IF(#REF!,"AAAAAHf+dxM=",0)</f>
        <v>#REF!</v>
      </c>
      <c r="U34" t="e">
        <f>AND(#REF!,"AAAAAHf+dxQ=")</f>
        <v>#REF!</v>
      </c>
      <c r="V34" t="e">
        <f>AND(#REF!,"AAAAAHf+dxU=")</f>
        <v>#REF!</v>
      </c>
      <c r="W34" t="e">
        <f>AND(#REF!,"AAAAAHf+dxY=")</f>
        <v>#REF!</v>
      </c>
      <c r="X34" t="e">
        <f>AND(#REF!,"AAAAAHf+dxc=")</f>
        <v>#REF!</v>
      </c>
      <c r="Y34" t="e">
        <f>AND(#REF!,"AAAAAHf+dxg=")</f>
        <v>#REF!</v>
      </c>
      <c r="Z34" t="e">
        <f>AND(#REF!,"AAAAAHf+dxk=")</f>
        <v>#REF!</v>
      </c>
      <c r="AA34" t="e">
        <f>AND(#REF!,"AAAAAHf+dxo=")</f>
        <v>#REF!</v>
      </c>
      <c r="AB34" t="e">
        <f>AND(#REF!,"AAAAAHf+dxs=")</f>
        <v>#REF!</v>
      </c>
      <c r="AC34" t="e">
        <f>AND(#REF!,"AAAAAHf+dxw=")</f>
        <v>#REF!</v>
      </c>
      <c r="AD34" t="e">
        <f>AND(#REF!,"AAAAAHf+dx0=")</f>
        <v>#REF!</v>
      </c>
      <c r="AE34" t="e">
        <f>AND(#REF!,"AAAAAHf+dx4=")</f>
        <v>#REF!</v>
      </c>
      <c r="AF34" t="e">
        <f>AND(#REF!,"AAAAAHf+dx8=")</f>
        <v>#REF!</v>
      </c>
      <c r="AG34" t="e">
        <f>IF(#REF!,"AAAAAHf+dyA=",0)</f>
        <v>#REF!</v>
      </c>
      <c r="AH34" t="e">
        <f>AND(#REF!,"AAAAAHf+dyE=")</f>
        <v>#REF!</v>
      </c>
      <c r="AI34" t="e">
        <f>AND(#REF!,"AAAAAHf+dyI=")</f>
        <v>#REF!</v>
      </c>
      <c r="AJ34" t="e">
        <f>AND(#REF!,"AAAAAHf+dyM=")</f>
        <v>#REF!</v>
      </c>
      <c r="AK34" t="e">
        <f>AND(#REF!,"AAAAAHf+dyQ=")</f>
        <v>#REF!</v>
      </c>
      <c r="AL34" t="e">
        <f>AND(#REF!,"AAAAAHf+dyU=")</f>
        <v>#REF!</v>
      </c>
      <c r="AM34" t="e">
        <f>AND(#REF!,"AAAAAHf+dyY=")</f>
        <v>#REF!</v>
      </c>
      <c r="AN34" t="e">
        <f>AND(#REF!,"AAAAAHf+dyc=")</f>
        <v>#REF!</v>
      </c>
      <c r="AO34" t="e">
        <f>AND(#REF!,"AAAAAHf+dyg=")</f>
        <v>#REF!</v>
      </c>
      <c r="AP34" t="e">
        <f>AND(#REF!,"AAAAAHf+dyk=")</f>
        <v>#REF!</v>
      </c>
      <c r="AQ34" t="e">
        <f>AND(#REF!,"AAAAAHf+dyo=")</f>
        <v>#REF!</v>
      </c>
      <c r="AR34" t="e">
        <f>AND(#REF!,"AAAAAHf+dys=")</f>
        <v>#REF!</v>
      </c>
      <c r="AS34" t="e">
        <f>AND(#REF!,"AAAAAHf+dyw=")</f>
        <v>#REF!</v>
      </c>
      <c r="AT34" t="e">
        <f>IF(#REF!,"AAAAAHf+dy0=",0)</f>
        <v>#REF!</v>
      </c>
      <c r="AU34" t="e">
        <f>AND(#REF!,"AAAAAHf+dy4=")</f>
        <v>#REF!</v>
      </c>
      <c r="AV34" t="e">
        <f>AND(#REF!,"AAAAAHf+dy8=")</f>
        <v>#REF!</v>
      </c>
      <c r="AW34" t="e">
        <f>AND(#REF!,"AAAAAHf+dzA=")</f>
        <v>#REF!</v>
      </c>
      <c r="AX34" t="e">
        <f>AND(#REF!,"AAAAAHf+dzE=")</f>
        <v>#REF!</v>
      </c>
      <c r="AY34" t="e">
        <f>AND(#REF!,"AAAAAHf+dzI=")</f>
        <v>#REF!</v>
      </c>
      <c r="AZ34" t="e">
        <f>AND(#REF!,"AAAAAHf+dzM=")</f>
        <v>#REF!</v>
      </c>
      <c r="BA34" t="e">
        <f>AND(#REF!,"AAAAAHf+dzQ=")</f>
        <v>#REF!</v>
      </c>
      <c r="BB34" t="e">
        <f>AND(#REF!,"AAAAAHf+dzU=")</f>
        <v>#REF!</v>
      </c>
      <c r="BC34" t="e">
        <f>AND(#REF!,"AAAAAHf+dzY=")</f>
        <v>#REF!</v>
      </c>
      <c r="BD34" t="e">
        <f>AND(#REF!,"AAAAAHf+dzc=")</f>
        <v>#REF!</v>
      </c>
      <c r="BE34" t="e">
        <f>AND(#REF!,"AAAAAHf+dzg=")</f>
        <v>#REF!</v>
      </c>
      <c r="BF34" t="e">
        <f>AND(#REF!,"AAAAAHf+dzk=")</f>
        <v>#REF!</v>
      </c>
      <c r="BG34" t="e">
        <f>IF(#REF!,"AAAAAHf+dzo=",0)</f>
        <v>#REF!</v>
      </c>
      <c r="BH34" t="e">
        <f>AND(#REF!,"AAAAAHf+dzs=")</f>
        <v>#REF!</v>
      </c>
      <c r="BI34" t="e">
        <f>AND(#REF!,"AAAAAHf+dzw=")</f>
        <v>#REF!</v>
      </c>
      <c r="BJ34" t="e">
        <f>AND(#REF!,"AAAAAHf+dz0=")</f>
        <v>#REF!</v>
      </c>
      <c r="BK34" t="e">
        <f>AND(#REF!,"AAAAAHf+dz4=")</f>
        <v>#REF!</v>
      </c>
      <c r="BL34" t="e">
        <f>AND(#REF!,"AAAAAHf+dz8=")</f>
        <v>#REF!</v>
      </c>
      <c r="BM34" t="e">
        <f>AND(#REF!,"AAAAAHf+d0A=")</f>
        <v>#REF!</v>
      </c>
      <c r="BN34" t="e">
        <f>AND(#REF!,"AAAAAHf+d0E=")</f>
        <v>#REF!</v>
      </c>
      <c r="BO34" t="e">
        <f>AND(#REF!,"AAAAAHf+d0I=")</f>
        <v>#REF!</v>
      </c>
      <c r="BP34" t="e">
        <f>AND(#REF!,"AAAAAHf+d0M=")</f>
        <v>#REF!</v>
      </c>
      <c r="BQ34" t="e">
        <f>AND(#REF!,"AAAAAHf+d0Q=")</f>
        <v>#REF!</v>
      </c>
      <c r="BR34" t="e">
        <f>AND(#REF!,"AAAAAHf+d0U=")</f>
        <v>#REF!</v>
      </c>
      <c r="BS34" t="e">
        <f>AND(#REF!,"AAAAAHf+d0Y=")</f>
        <v>#REF!</v>
      </c>
      <c r="BT34" t="e">
        <f>IF(#REF!,"AAAAAHf+d0c=",0)</f>
        <v>#REF!</v>
      </c>
      <c r="BU34" t="e">
        <f>AND(#REF!,"AAAAAHf+d0g=")</f>
        <v>#REF!</v>
      </c>
      <c r="BV34" t="e">
        <f>AND(#REF!,"AAAAAHf+d0k=")</f>
        <v>#REF!</v>
      </c>
      <c r="BW34" t="e">
        <f>AND(#REF!,"AAAAAHf+d0o=")</f>
        <v>#REF!</v>
      </c>
      <c r="BX34" t="e">
        <f>AND(#REF!,"AAAAAHf+d0s=")</f>
        <v>#REF!</v>
      </c>
      <c r="BY34" t="e">
        <f>AND(#REF!,"AAAAAHf+d0w=")</f>
        <v>#REF!</v>
      </c>
      <c r="BZ34" t="e">
        <f>AND(#REF!,"AAAAAHf+d00=")</f>
        <v>#REF!</v>
      </c>
      <c r="CA34" t="e">
        <f>AND(#REF!,"AAAAAHf+d04=")</f>
        <v>#REF!</v>
      </c>
      <c r="CB34" t="e">
        <f>AND(#REF!,"AAAAAHf+d08=")</f>
        <v>#REF!</v>
      </c>
      <c r="CC34" t="e">
        <f>AND(#REF!,"AAAAAHf+d1A=")</f>
        <v>#REF!</v>
      </c>
      <c r="CD34" t="e">
        <f>AND(#REF!,"AAAAAHf+d1E=")</f>
        <v>#REF!</v>
      </c>
      <c r="CE34" t="e">
        <f>AND(#REF!,"AAAAAHf+d1I=")</f>
        <v>#REF!</v>
      </c>
      <c r="CF34" t="e">
        <f>AND(#REF!,"AAAAAHf+d1M=")</f>
        <v>#REF!</v>
      </c>
      <c r="CG34" t="e">
        <f>IF(#REF!,"AAAAAHf+d1Q=",0)</f>
        <v>#REF!</v>
      </c>
      <c r="CH34" t="e">
        <f>AND(#REF!,"AAAAAHf+d1U=")</f>
        <v>#REF!</v>
      </c>
      <c r="CI34" t="e">
        <f>AND(#REF!,"AAAAAHf+d1Y=")</f>
        <v>#REF!</v>
      </c>
      <c r="CJ34" t="e">
        <f>AND(#REF!,"AAAAAHf+d1c=")</f>
        <v>#REF!</v>
      </c>
      <c r="CK34" t="e">
        <f>AND(#REF!,"AAAAAHf+d1g=")</f>
        <v>#REF!</v>
      </c>
      <c r="CL34" t="e">
        <f>AND(#REF!,"AAAAAHf+d1k=")</f>
        <v>#REF!</v>
      </c>
      <c r="CM34" t="e">
        <f>AND(#REF!,"AAAAAHf+d1o=")</f>
        <v>#REF!</v>
      </c>
      <c r="CN34" t="e">
        <f>AND(#REF!,"AAAAAHf+d1s=")</f>
        <v>#REF!</v>
      </c>
      <c r="CO34" t="e">
        <f>AND(#REF!,"AAAAAHf+d1w=")</f>
        <v>#REF!</v>
      </c>
      <c r="CP34" t="e">
        <f>AND(#REF!,"AAAAAHf+d10=")</f>
        <v>#REF!</v>
      </c>
      <c r="CQ34" t="e">
        <f>AND(#REF!,"AAAAAHf+d14=")</f>
        <v>#REF!</v>
      </c>
      <c r="CR34" t="e">
        <f>AND(#REF!,"AAAAAHf+d18=")</f>
        <v>#REF!</v>
      </c>
      <c r="CS34" t="e">
        <f>AND(#REF!,"AAAAAHf+d2A=")</f>
        <v>#REF!</v>
      </c>
      <c r="CT34" t="e">
        <f>IF(#REF!,"AAAAAHf+d2E=",0)</f>
        <v>#REF!</v>
      </c>
      <c r="CU34" t="e">
        <f>AND(#REF!,"AAAAAHf+d2I=")</f>
        <v>#REF!</v>
      </c>
      <c r="CV34" t="e">
        <f>AND(#REF!,"AAAAAHf+d2M=")</f>
        <v>#REF!</v>
      </c>
      <c r="CW34" t="e">
        <f>AND(#REF!,"AAAAAHf+d2Q=")</f>
        <v>#REF!</v>
      </c>
      <c r="CX34" t="e">
        <f>AND(#REF!,"AAAAAHf+d2U=")</f>
        <v>#REF!</v>
      </c>
      <c r="CY34" t="e">
        <f>AND(#REF!,"AAAAAHf+d2Y=")</f>
        <v>#REF!</v>
      </c>
      <c r="CZ34" t="e">
        <f>AND(#REF!,"AAAAAHf+d2c=")</f>
        <v>#REF!</v>
      </c>
      <c r="DA34" t="e">
        <f>AND(#REF!,"AAAAAHf+d2g=")</f>
        <v>#REF!</v>
      </c>
      <c r="DB34" t="e">
        <f>AND(#REF!,"AAAAAHf+d2k=")</f>
        <v>#REF!</v>
      </c>
      <c r="DC34" t="e">
        <f>AND(#REF!,"AAAAAHf+d2o=")</f>
        <v>#REF!</v>
      </c>
      <c r="DD34" t="e">
        <f>AND(#REF!,"AAAAAHf+d2s=")</f>
        <v>#REF!</v>
      </c>
      <c r="DE34" t="e">
        <f>AND(#REF!,"AAAAAHf+d2w=")</f>
        <v>#REF!</v>
      </c>
      <c r="DF34" t="e">
        <f>AND(#REF!,"AAAAAHf+d20=")</f>
        <v>#REF!</v>
      </c>
      <c r="DG34" t="e">
        <f>IF(#REF!,"AAAAAHf+d24=",0)</f>
        <v>#REF!</v>
      </c>
      <c r="DH34" t="e">
        <f>AND(#REF!,"AAAAAHf+d28=")</f>
        <v>#REF!</v>
      </c>
      <c r="DI34" t="e">
        <f>AND(#REF!,"AAAAAHf+d3A=")</f>
        <v>#REF!</v>
      </c>
      <c r="DJ34" t="e">
        <f>AND(#REF!,"AAAAAHf+d3E=")</f>
        <v>#REF!</v>
      </c>
      <c r="DK34" t="e">
        <f>AND(#REF!,"AAAAAHf+d3I=")</f>
        <v>#REF!</v>
      </c>
      <c r="DL34" t="e">
        <f>AND(#REF!,"AAAAAHf+d3M=")</f>
        <v>#REF!</v>
      </c>
      <c r="DM34" t="e">
        <f>AND(#REF!,"AAAAAHf+d3Q=")</f>
        <v>#REF!</v>
      </c>
      <c r="DN34" t="e">
        <f>AND(#REF!,"AAAAAHf+d3U=")</f>
        <v>#REF!</v>
      </c>
      <c r="DO34" t="e">
        <f>AND(#REF!,"AAAAAHf+d3Y=")</f>
        <v>#REF!</v>
      </c>
      <c r="DP34" t="e">
        <f>AND(#REF!,"AAAAAHf+d3c=")</f>
        <v>#REF!</v>
      </c>
      <c r="DQ34" t="e">
        <f>AND(#REF!,"AAAAAHf+d3g=")</f>
        <v>#REF!</v>
      </c>
      <c r="DR34" t="e">
        <f>AND(#REF!,"AAAAAHf+d3k=")</f>
        <v>#REF!</v>
      </c>
      <c r="DS34" t="e">
        <f>AND(#REF!,"AAAAAHf+d3o=")</f>
        <v>#REF!</v>
      </c>
      <c r="DT34" t="e">
        <f>IF(#REF!,"AAAAAHf+d3s=",0)</f>
        <v>#REF!</v>
      </c>
      <c r="DU34" t="e">
        <f>AND(#REF!,"AAAAAHf+d3w=")</f>
        <v>#REF!</v>
      </c>
      <c r="DV34" t="e">
        <f>AND(#REF!,"AAAAAHf+d30=")</f>
        <v>#REF!</v>
      </c>
      <c r="DW34" t="e">
        <f>AND(#REF!,"AAAAAHf+d34=")</f>
        <v>#REF!</v>
      </c>
      <c r="DX34" t="e">
        <f>AND(#REF!,"AAAAAHf+d38=")</f>
        <v>#REF!</v>
      </c>
      <c r="DY34" t="e">
        <f>AND(#REF!,"AAAAAHf+d4A=")</f>
        <v>#REF!</v>
      </c>
      <c r="DZ34" t="e">
        <f>AND(#REF!,"AAAAAHf+d4E=")</f>
        <v>#REF!</v>
      </c>
      <c r="EA34" t="e">
        <f>AND(#REF!,"AAAAAHf+d4I=")</f>
        <v>#REF!</v>
      </c>
      <c r="EB34" t="e">
        <f>AND(#REF!,"AAAAAHf+d4M=")</f>
        <v>#REF!</v>
      </c>
      <c r="EC34" t="e">
        <f>AND(#REF!,"AAAAAHf+d4Q=")</f>
        <v>#REF!</v>
      </c>
      <c r="ED34" t="e">
        <f>AND(#REF!,"AAAAAHf+d4U=")</f>
        <v>#REF!</v>
      </c>
      <c r="EE34" t="e">
        <f>AND(#REF!,"AAAAAHf+d4Y=")</f>
        <v>#REF!</v>
      </c>
      <c r="EF34" t="e">
        <f>AND(#REF!,"AAAAAHf+d4c=")</f>
        <v>#REF!</v>
      </c>
      <c r="EG34" t="e">
        <f>IF(#REF!,"AAAAAHf+d4g=",0)</f>
        <v>#REF!</v>
      </c>
      <c r="EH34" t="e">
        <f>AND(#REF!,"AAAAAHf+d4k=")</f>
        <v>#REF!</v>
      </c>
      <c r="EI34" t="e">
        <f>AND(#REF!,"AAAAAHf+d4o=")</f>
        <v>#REF!</v>
      </c>
      <c r="EJ34" t="e">
        <f>AND(#REF!,"AAAAAHf+d4s=")</f>
        <v>#REF!</v>
      </c>
      <c r="EK34" t="e">
        <f>AND(#REF!,"AAAAAHf+d4w=")</f>
        <v>#REF!</v>
      </c>
      <c r="EL34" t="e">
        <f>AND(#REF!,"AAAAAHf+d40=")</f>
        <v>#REF!</v>
      </c>
      <c r="EM34" t="e">
        <f>AND(#REF!,"AAAAAHf+d44=")</f>
        <v>#REF!</v>
      </c>
      <c r="EN34" t="e">
        <f>AND(#REF!,"AAAAAHf+d48=")</f>
        <v>#REF!</v>
      </c>
      <c r="EO34" t="e">
        <f>AND(#REF!,"AAAAAHf+d5A=")</f>
        <v>#REF!</v>
      </c>
      <c r="EP34" t="e">
        <f>AND(#REF!,"AAAAAHf+d5E=")</f>
        <v>#REF!</v>
      </c>
      <c r="EQ34" t="e">
        <f>AND(#REF!,"AAAAAHf+d5I=")</f>
        <v>#REF!</v>
      </c>
      <c r="ER34" t="e">
        <f>AND(#REF!,"AAAAAHf+d5M=")</f>
        <v>#REF!</v>
      </c>
      <c r="ES34" t="e">
        <f>AND(#REF!,"AAAAAHf+d5Q=")</f>
        <v>#REF!</v>
      </c>
      <c r="ET34" t="e">
        <f>IF(#REF!,"AAAAAHf+d5U=",0)</f>
        <v>#REF!</v>
      </c>
      <c r="EU34" t="e">
        <f>AND(#REF!,"AAAAAHf+d5Y=")</f>
        <v>#REF!</v>
      </c>
      <c r="EV34" t="e">
        <f>AND(#REF!,"AAAAAHf+d5c=")</f>
        <v>#REF!</v>
      </c>
      <c r="EW34" t="e">
        <f>AND(#REF!,"AAAAAHf+d5g=")</f>
        <v>#REF!</v>
      </c>
      <c r="EX34" t="e">
        <f>AND(#REF!,"AAAAAHf+d5k=")</f>
        <v>#REF!</v>
      </c>
      <c r="EY34" t="e">
        <f>AND(#REF!,"AAAAAHf+d5o=")</f>
        <v>#REF!</v>
      </c>
      <c r="EZ34" t="e">
        <f>AND(#REF!,"AAAAAHf+d5s=")</f>
        <v>#REF!</v>
      </c>
      <c r="FA34" t="e">
        <f>AND(#REF!,"AAAAAHf+d5w=")</f>
        <v>#REF!</v>
      </c>
      <c r="FB34" t="e">
        <f>AND(#REF!,"AAAAAHf+d50=")</f>
        <v>#REF!</v>
      </c>
      <c r="FC34" t="e">
        <f>AND(#REF!,"AAAAAHf+d54=")</f>
        <v>#REF!</v>
      </c>
      <c r="FD34" t="e">
        <f>AND(#REF!,"AAAAAHf+d58=")</f>
        <v>#REF!</v>
      </c>
      <c r="FE34" t="e">
        <f>AND(#REF!,"AAAAAHf+d6A=")</f>
        <v>#REF!</v>
      </c>
      <c r="FF34" t="e">
        <f>AND(#REF!,"AAAAAHf+d6E=")</f>
        <v>#REF!</v>
      </c>
      <c r="FG34" t="e">
        <f>IF(#REF!,"AAAAAHf+d6I=",0)</f>
        <v>#REF!</v>
      </c>
      <c r="FH34" t="e">
        <f>AND(#REF!,"AAAAAHf+d6M=")</f>
        <v>#REF!</v>
      </c>
      <c r="FI34" t="e">
        <f>AND(#REF!,"AAAAAHf+d6Q=")</f>
        <v>#REF!</v>
      </c>
      <c r="FJ34" t="e">
        <f>AND(#REF!,"AAAAAHf+d6U=")</f>
        <v>#REF!</v>
      </c>
      <c r="FK34" t="e">
        <f>AND(#REF!,"AAAAAHf+d6Y=")</f>
        <v>#REF!</v>
      </c>
      <c r="FL34" t="e">
        <f>AND(#REF!,"AAAAAHf+d6c=")</f>
        <v>#REF!</v>
      </c>
      <c r="FM34" t="e">
        <f>AND(#REF!,"AAAAAHf+d6g=")</f>
        <v>#REF!</v>
      </c>
      <c r="FN34" t="e">
        <f>AND(#REF!,"AAAAAHf+d6k=")</f>
        <v>#REF!</v>
      </c>
      <c r="FO34" t="e">
        <f>AND(#REF!,"AAAAAHf+d6o=")</f>
        <v>#REF!</v>
      </c>
      <c r="FP34" t="e">
        <f>AND(#REF!,"AAAAAHf+d6s=")</f>
        <v>#REF!</v>
      </c>
      <c r="FQ34" t="e">
        <f>AND(#REF!,"AAAAAHf+d6w=")</f>
        <v>#REF!</v>
      </c>
      <c r="FR34" t="e">
        <f>AND(#REF!,"AAAAAHf+d60=")</f>
        <v>#REF!</v>
      </c>
      <c r="FS34" t="e">
        <f>AND(#REF!,"AAAAAHf+d64=")</f>
        <v>#REF!</v>
      </c>
      <c r="FT34" t="e">
        <f>IF(#REF!,"AAAAAHf+d68=",0)</f>
        <v>#REF!</v>
      </c>
      <c r="FU34" t="e">
        <f>AND(#REF!,"AAAAAHf+d7A=")</f>
        <v>#REF!</v>
      </c>
      <c r="FV34" t="e">
        <f>AND(#REF!,"AAAAAHf+d7E=")</f>
        <v>#REF!</v>
      </c>
      <c r="FW34" t="e">
        <f>AND(#REF!,"AAAAAHf+d7I=")</f>
        <v>#REF!</v>
      </c>
      <c r="FX34" t="e">
        <f>AND(#REF!,"AAAAAHf+d7M=")</f>
        <v>#REF!</v>
      </c>
      <c r="FY34" t="e">
        <f>AND(#REF!,"AAAAAHf+d7Q=")</f>
        <v>#REF!</v>
      </c>
      <c r="FZ34" t="e">
        <f>AND(#REF!,"AAAAAHf+d7U=")</f>
        <v>#REF!</v>
      </c>
      <c r="GA34" t="e">
        <f>AND(#REF!,"AAAAAHf+d7Y=")</f>
        <v>#REF!</v>
      </c>
      <c r="GB34" t="e">
        <f>AND(#REF!,"AAAAAHf+d7c=")</f>
        <v>#REF!</v>
      </c>
      <c r="GC34" t="e">
        <f>AND(#REF!,"AAAAAHf+d7g=")</f>
        <v>#REF!</v>
      </c>
      <c r="GD34" t="e">
        <f>AND(#REF!,"AAAAAHf+d7k=")</f>
        <v>#REF!</v>
      </c>
      <c r="GE34" t="e">
        <f>AND(#REF!,"AAAAAHf+d7o=")</f>
        <v>#REF!</v>
      </c>
      <c r="GF34" t="e">
        <f>AND(#REF!,"AAAAAHf+d7s=")</f>
        <v>#REF!</v>
      </c>
      <c r="GG34" t="e">
        <f>IF(#REF!,"AAAAAHf+d7w=",0)</f>
        <v>#REF!</v>
      </c>
      <c r="GH34" t="e">
        <f>AND(#REF!,"AAAAAHf+d70=")</f>
        <v>#REF!</v>
      </c>
      <c r="GI34" t="e">
        <f>AND(#REF!,"AAAAAHf+d74=")</f>
        <v>#REF!</v>
      </c>
      <c r="GJ34" t="e">
        <f>AND(#REF!,"AAAAAHf+d78=")</f>
        <v>#REF!</v>
      </c>
      <c r="GK34" t="e">
        <f>AND(#REF!,"AAAAAHf+d8A=")</f>
        <v>#REF!</v>
      </c>
      <c r="GL34" t="e">
        <f>AND(#REF!,"AAAAAHf+d8E=")</f>
        <v>#REF!</v>
      </c>
      <c r="GM34" t="e">
        <f>AND(#REF!,"AAAAAHf+d8I=")</f>
        <v>#REF!</v>
      </c>
      <c r="GN34" t="e">
        <f>AND(#REF!,"AAAAAHf+d8M=")</f>
        <v>#REF!</v>
      </c>
      <c r="GO34" t="e">
        <f>AND(#REF!,"AAAAAHf+d8Q=")</f>
        <v>#REF!</v>
      </c>
      <c r="GP34" t="e">
        <f>AND(#REF!,"AAAAAHf+d8U=")</f>
        <v>#REF!</v>
      </c>
      <c r="GQ34" t="e">
        <f>AND(#REF!,"AAAAAHf+d8Y=")</f>
        <v>#REF!</v>
      </c>
      <c r="GR34" t="e">
        <f>AND(#REF!,"AAAAAHf+d8c=")</f>
        <v>#REF!</v>
      </c>
      <c r="GS34" t="e">
        <f>AND(#REF!,"AAAAAHf+d8g=")</f>
        <v>#REF!</v>
      </c>
      <c r="GT34" t="e">
        <f>IF(#REF!,"AAAAAHf+d8k=",0)</f>
        <v>#REF!</v>
      </c>
      <c r="GU34" t="e">
        <f>AND(#REF!,"AAAAAHf+d8o=")</f>
        <v>#REF!</v>
      </c>
      <c r="GV34" t="e">
        <f>AND(#REF!,"AAAAAHf+d8s=")</f>
        <v>#REF!</v>
      </c>
      <c r="GW34" t="e">
        <f>AND(#REF!,"AAAAAHf+d8w=")</f>
        <v>#REF!</v>
      </c>
      <c r="GX34" t="e">
        <f>AND(#REF!,"AAAAAHf+d80=")</f>
        <v>#REF!</v>
      </c>
      <c r="GY34" t="e">
        <f>AND(#REF!,"AAAAAHf+d84=")</f>
        <v>#REF!</v>
      </c>
      <c r="GZ34" t="e">
        <f>AND(#REF!,"AAAAAHf+d88=")</f>
        <v>#REF!</v>
      </c>
      <c r="HA34" t="e">
        <f>AND(#REF!,"AAAAAHf+d9A=")</f>
        <v>#REF!</v>
      </c>
      <c r="HB34" t="e">
        <f>AND(#REF!,"AAAAAHf+d9E=")</f>
        <v>#REF!</v>
      </c>
      <c r="HC34" t="e">
        <f>AND(#REF!,"AAAAAHf+d9I=")</f>
        <v>#REF!</v>
      </c>
      <c r="HD34" t="e">
        <f>AND(#REF!,"AAAAAHf+d9M=")</f>
        <v>#REF!</v>
      </c>
      <c r="HE34" t="e">
        <f>AND(#REF!,"AAAAAHf+d9Q=")</f>
        <v>#REF!</v>
      </c>
      <c r="HF34" t="e">
        <f>AND(#REF!,"AAAAAHf+d9U=")</f>
        <v>#REF!</v>
      </c>
      <c r="HG34" t="e">
        <f>IF(#REF!,"AAAAAHf+d9Y=",0)</f>
        <v>#REF!</v>
      </c>
      <c r="HH34" t="e">
        <f>AND(#REF!,"AAAAAHf+d9c=")</f>
        <v>#REF!</v>
      </c>
      <c r="HI34" t="e">
        <f>AND(#REF!,"AAAAAHf+d9g=")</f>
        <v>#REF!</v>
      </c>
      <c r="HJ34" t="e">
        <f>AND(#REF!,"AAAAAHf+d9k=")</f>
        <v>#REF!</v>
      </c>
      <c r="HK34" t="e">
        <f>AND(#REF!,"AAAAAHf+d9o=")</f>
        <v>#REF!</v>
      </c>
      <c r="HL34" t="e">
        <f>AND(#REF!,"AAAAAHf+d9s=")</f>
        <v>#REF!</v>
      </c>
      <c r="HM34" t="e">
        <f>AND(#REF!,"AAAAAHf+d9w=")</f>
        <v>#REF!</v>
      </c>
      <c r="HN34" t="e">
        <f>AND(#REF!,"AAAAAHf+d90=")</f>
        <v>#REF!</v>
      </c>
      <c r="HO34" t="e">
        <f>AND(#REF!,"AAAAAHf+d94=")</f>
        <v>#REF!</v>
      </c>
      <c r="HP34" t="e">
        <f>AND(#REF!,"AAAAAHf+d98=")</f>
        <v>#REF!</v>
      </c>
      <c r="HQ34" t="e">
        <f>AND(#REF!,"AAAAAHf+d+A=")</f>
        <v>#REF!</v>
      </c>
      <c r="HR34" t="e">
        <f>AND(#REF!,"AAAAAHf+d+E=")</f>
        <v>#REF!</v>
      </c>
      <c r="HS34" t="e">
        <f>AND(#REF!,"AAAAAHf+d+I=")</f>
        <v>#REF!</v>
      </c>
      <c r="HT34" t="e">
        <f>IF(#REF!,"AAAAAHf+d+M=",0)</f>
        <v>#REF!</v>
      </c>
      <c r="HU34" t="e">
        <f>AND(#REF!,"AAAAAHf+d+Q=")</f>
        <v>#REF!</v>
      </c>
      <c r="HV34" t="e">
        <f>AND(#REF!,"AAAAAHf+d+U=")</f>
        <v>#REF!</v>
      </c>
      <c r="HW34" t="e">
        <f>AND(#REF!,"AAAAAHf+d+Y=")</f>
        <v>#REF!</v>
      </c>
      <c r="HX34" t="e">
        <f>AND(#REF!,"AAAAAHf+d+c=")</f>
        <v>#REF!</v>
      </c>
      <c r="HY34" t="e">
        <f>AND(#REF!,"AAAAAHf+d+g=")</f>
        <v>#REF!</v>
      </c>
      <c r="HZ34" t="e">
        <f>AND(#REF!,"AAAAAHf+d+k=")</f>
        <v>#REF!</v>
      </c>
      <c r="IA34" t="e">
        <f>AND(#REF!,"AAAAAHf+d+o=")</f>
        <v>#REF!</v>
      </c>
      <c r="IB34" t="e">
        <f>AND(#REF!,"AAAAAHf+d+s=")</f>
        <v>#REF!</v>
      </c>
      <c r="IC34" t="e">
        <f>AND(#REF!,"AAAAAHf+d+w=")</f>
        <v>#REF!</v>
      </c>
      <c r="ID34" t="e">
        <f>AND(#REF!,"AAAAAHf+d+0=")</f>
        <v>#REF!</v>
      </c>
      <c r="IE34" t="e">
        <f>AND(#REF!,"AAAAAHf+d+4=")</f>
        <v>#REF!</v>
      </c>
      <c r="IF34" t="e">
        <f>AND(#REF!,"AAAAAHf+d+8=")</f>
        <v>#REF!</v>
      </c>
      <c r="IG34" t="e">
        <f>IF(#REF!,"AAAAAHf+d/A=",0)</f>
        <v>#REF!</v>
      </c>
      <c r="IH34" t="e">
        <f>AND(#REF!,"AAAAAHf+d/E=")</f>
        <v>#REF!</v>
      </c>
      <c r="II34" t="e">
        <f>AND(#REF!,"AAAAAHf+d/I=")</f>
        <v>#REF!</v>
      </c>
      <c r="IJ34" t="e">
        <f>AND(#REF!,"AAAAAHf+d/M=")</f>
        <v>#REF!</v>
      </c>
      <c r="IK34" t="e">
        <f>AND(#REF!,"AAAAAHf+d/Q=")</f>
        <v>#REF!</v>
      </c>
      <c r="IL34" t="e">
        <f>AND(#REF!,"AAAAAHf+d/U=")</f>
        <v>#REF!</v>
      </c>
      <c r="IM34" t="e">
        <f>AND(#REF!,"AAAAAHf+d/Y=")</f>
        <v>#REF!</v>
      </c>
      <c r="IN34" t="e">
        <f>AND(#REF!,"AAAAAHf+d/c=")</f>
        <v>#REF!</v>
      </c>
      <c r="IO34" t="e">
        <f>AND(#REF!,"AAAAAHf+d/g=")</f>
        <v>#REF!</v>
      </c>
      <c r="IP34" t="e">
        <f>AND(#REF!,"AAAAAHf+d/k=")</f>
        <v>#REF!</v>
      </c>
      <c r="IQ34" t="e">
        <f>AND(#REF!,"AAAAAHf+d/o=")</f>
        <v>#REF!</v>
      </c>
      <c r="IR34" t="e">
        <f>AND(#REF!,"AAAAAHf+d/s=")</f>
        <v>#REF!</v>
      </c>
      <c r="IS34" t="e">
        <f>AND(#REF!,"AAAAAHf+d/w=")</f>
        <v>#REF!</v>
      </c>
      <c r="IT34" t="e">
        <f>IF(#REF!,"AAAAAHf+d/0=",0)</f>
        <v>#REF!</v>
      </c>
      <c r="IU34" t="e">
        <f>AND(#REF!,"AAAAAHf+d/4=")</f>
        <v>#REF!</v>
      </c>
      <c r="IV34" t="e">
        <f>AND(#REF!,"AAAAAHf+d/8=")</f>
        <v>#REF!</v>
      </c>
    </row>
    <row r="35" spans="1:256">
      <c r="A35" t="e">
        <f>AND(#REF!,"AAAAAHt+uQA=")</f>
        <v>#REF!</v>
      </c>
      <c r="B35" t="e">
        <f>AND(#REF!,"AAAAAHt+uQE=")</f>
        <v>#REF!</v>
      </c>
      <c r="C35" t="e">
        <f>AND(#REF!,"AAAAAHt+uQI=")</f>
        <v>#REF!</v>
      </c>
      <c r="D35" t="e">
        <f>AND(#REF!,"AAAAAHt+uQM=")</f>
        <v>#REF!</v>
      </c>
      <c r="E35" t="e">
        <f>AND(#REF!,"AAAAAHt+uQQ=")</f>
        <v>#REF!</v>
      </c>
      <c r="F35" t="e">
        <f>AND(#REF!,"AAAAAHt+uQU=")</f>
        <v>#REF!</v>
      </c>
      <c r="G35" t="e">
        <f>AND(#REF!,"AAAAAHt+uQY=")</f>
        <v>#REF!</v>
      </c>
      <c r="H35" t="e">
        <f>AND(#REF!,"AAAAAHt+uQc=")</f>
        <v>#REF!</v>
      </c>
      <c r="I35" t="e">
        <f>AND(#REF!,"AAAAAHt+uQg=")</f>
        <v>#REF!</v>
      </c>
      <c r="J35" t="e">
        <f>AND(#REF!,"AAAAAHt+uQk=")</f>
        <v>#REF!</v>
      </c>
      <c r="K35" t="e">
        <f>IF(#REF!,"AAAAAHt+uQo=",0)</f>
        <v>#REF!</v>
      </c>
      <c r="L35" t="e">
        <f>AND(#REF!,"AAAAAHt+uQs=")</f>
        <v>#REF!</v>
      </c>
      <c r="M35" t="e">
        <f>AND(#REF!,"AAAAAHt+uQw=")</f>
        <v>#REF!</v>
      </c>
      <c r="N35" t="e">
        <f>AND(#REF!,"AAAAAHt+uQ0=")</f>
        <v>#REF!</v>
      </c>
      <c r="O35" t="e">
        <f>AND(#REF!,"AAAAAHt+uQ4=")</f>
        <v>#REF!</v>
      </c>
      <c r="P35" t="e">
        <f>AND(#REF!,"AAAAAHt+uQ8=")</f>
        <v>#REF!</v>
      </c>
      <c r="Q35" t="e">
        <f>AND(#REF!,"AAAAAHt+uRA=")</f>
        <v>#REF!</v>
      </c>
      <c r="R35" t="e">
        <f>AND(#REF!,"AAAAAHt+uRE=")</f>
        <v>#REF!</v>
      </c>
      <c r="S35" t="e">
        <f>AND(#REF!,"AAAAAHt+uRI=")</f>
        <v>#REF!</v>
      </c>
      <c r="T35" t="e">
        <f>AND(#REF!,"AAAAAHt+uRM=")</f>
        <v>#REF!</v>
      </c>
      <c r="U35" t="e">
        <f>AND(#REF!,"AAAAAHt+uRQ=")</f>
        <v>#REF!</v>
      </c>
      <c r="V35" t="e">
        <f>AND(#REF!,"AAAAAHt+uRU=")</f>
        <v>#REF!</v>
      </c>
      <c r="W35" t="e">
        <f>AND(#REF!,"AAAAAHt+uRY=")</f>
        <v>#REF!</v>
      </c>
      <c r="X35" t="e">
        <f>IF(#REF!,"AAAAAHt+uRc=",0)</f>
        <v>#REF!</v>
      </c>
      <c r="Y35" t="e">
        <f>AND(#REF!,"AAAAAHt+uRg=")</f>
        <v>#REF!</v>
      </c>
      <c r="Z35" t="e">
        <f>AND(#REF!,"AAAAAHt+uRk=")</f>
        <v>#REF!</v>
      </c>
      <c r="AA35" t="e">
        <f>AND(#REF!,"AAAAAHt+uRo=")</f>
        <v>#REF!</v>
      </c>
      <c r="AB35" t="e">
        <f>AND(#REF!,"AAAAAHt+uRs=")</f>
        <v>#REF!</v>
      </c>
      <c r="AC35" t="e">
        <f>AND(#REF!,"AAAAAHt+uRw=")</f>
        <v>#REF!</v>
      </c>
      <c r="AD35" t="e">
        <f>AND(#REF!,"AAAAAHt+uR0=")</f>
        <v>#REF!</v>
      </c>
      <c r="AE35" t="e">
        <f>AND(#REF!,"AAAAAHt+uR4=")</f>
        <v>#REF!</v>
      </c>
      <c r="AF35" t="e">
        <f>AND(#REF!,"AAAAAHt+uR8=")</f>
        <v>#REF!</v>
      </c>
      <c r="AG35" t="e">
        <f>AND(#REF!,"AAAAAHt+uSA=")</f>
        <v>#REF!</v>
      </c>
      <c r="AH35" t="e">
        <f>AND(#REF!,"AAAAAHt+uSE=")</f>
        <v>#REF!</v>
      </c>
      <c r="AI35" t="e">
        <f>AND(#REF!,"AAAAAHt+uSI=")</f>
        <v>#REF!</v>
      </c>
      <c r="AJ35" t="e">
        <f>AND(#REF!,"AAAAAHt+uSM=")</f>
        <v>#REF!</v>
      </c>
      <c r="AK35" t="e">
        <f>IF(#REF!,"AAAAAHt+uSQ=",0)</f>
        <v>#REF!</v>
      </c>
      <c r="AL35" t="e">
        <f>AND(#REF!,"AAAAAHt+uSU=")</f>
        <v>#REF!</v>
      </c>
      <c r="AM35" t="e">
        <f>AND(#REF!,"AAAAAHt+uSY=")</f>
        <v>#REF!</v>
      </c>
      <c r="AN35" t="e">
        <f>AND(#REF!,"AAAAAHt+uSc=")</f>
        <v>#REF!</v>
      </c>
      <c r="AO35" t="e">
        <f>AND(#REF!,"AAAAAHt+uSg=")</f>
        <v>#REF!</v>
      </c>
      <c r="AP35" t="e">
        <f>AND(#REF!,"AAAAAHt+uSk=")</f>
        <v>#REF!</v>
      </c>
      <c r="AQ35" t="e">
        <f>AND(#REF!,"AAAAAHt+uSo=")</f>
        <v>#REF!</v>
      </c>
      <c r="AR35" t="e">
        <f>AND(#REF!,"AAAAAHt+uSs=")</f>
        <v>#REF!</v>
      </c>
      <c r="AS35" t="e">
        <f>AND(#REF!,"AAAAAHt+uSw=")</f>
        <v>#REF!</v>
      </c>
      <c r="AT35" t="e">
        <f>AND(#REF!,"AAAAAHt+uS0=")</f>
        <v>#REF!</v>
      </c>
      <c r="AU35" t="e">
        <f>AND(#REF!,"AAAAAHt+uS4=")</f>
        <v>#REF!</v>
      </c>
      <c r="AV35" t="e">
        <f>AND(#REF!,"AAAAAHt+uS8=")</f>
        <v>#REF!</v>
      </c>
      <c r="AW35" t="e">
        <f>AND(#REF!,"AAAAAHt+uTA=")</f>
        <v>#REF!</v>
      </c>
      <c r="AX35" t="e">
        <f>IF(#REF!,"AAAAAHt+uTE=",0)</f>
        <v>#REF!</v>
      </c>
      <c r="AY35" t="e">
        <f>AND(#REF!,"AAAAAHt+uTI=")</f>
        <v>#REF!</v>
      </c>
      <c r="AZ35" t="e">
        <f>AND(#REF!,"AAAAAHt+uTM=")</f>
        <v>#REF!</v>
      </c>
      <c r="BA35" t="e">
        <f>AND(#REF!,"AAAAAHt+uTQ=")</f>
        <v>#REF!</v>
      </c>
      <c r="BB35" t="e">
        <f>AND(#REF!,"AAAAAHt+uTU=")</f>
        <v>#REF!</v>
      </c>
      <c r="BC35" t="e">
        <f>AND(#REF!,"AAAAAHt+uTY=")</f>
        <v>#REF!</v>
      </c>
      <c r="BD35" t="e">
        <f>AND(#REF!,"AAAAAHt+uTc=")</f>
        <v>#REF!</v>
      </c>
      <c r="BE35" t="e">
        <f>AND(#REF!,"AAAAAHt+uTg=")</f>
        <v>#REF!</v>
      </c>
      <c r="BF35" t="e">
        <f>AND(#REF!,"AAAAAHt+uTk=")</f>
        <v>#REF!</v>
      </c>
      <c r="BG35" t="e">
        <f>AND(#REF!,"AAAAAHt+uTo=")</f>
        <v>#REF!</v>
      </c>
      <c r="BH35" t="e">
        <f>AND(#REF!,"AAAAAHt+uTs=")</f>
        <v>#REF!</v>
      </c>
      <c r="BI35" t="e">
        <f>AND(#REF!,"AAAAAHt+uTw=")</f>
        <v>#REF!</v>
      </c>
      <c r="BJ35" t="e">
        <f>AND(#REF!,"AAAAAHt+uT0=")</f>
        <v>#REF!</v>
      </c>
      <c r="BK35" t="e">
        <f>IF(#REF!,"AAAAAHt+uT4=",0)</f>
        <v>#REF!</v>
      </c>
      <c r="BL35" t="e">
        <f>AND(#REF!,"AAAAAHt+uT8=")</f>
        <v>#REF!</v>
      </c>
      <c r="BM35" t="e">
        <f>AND(#REF!,"AAAAAHt+uUA=")</f>
        <v>#REF!</v>
      </c>
      <c r="BN35" t="e">
        <f>AND(#REF!,"AAAAAHt+uUE=")</f>
        <v>#REF!</v>
      </c>
      <c r="BO35" t="e">
        <f>AND(#REF!,"AAAAAHt+uUI=")</f>
        <v>#REF!</v>
      </c>
      <c r="BP35" t="e">
        <f>AND(#REF!,"AAAAAHt+uUM=")</f>
        <v>#REF!</v>
      </c>
      <c r="BQ35" t="e">
        <f>AND(#REF!,"AAAAAHt+uUQ=")</f>
        <v>#REF!</v>
      </c>
      <c r="BR35" t="e">
        <f>AND(#REF!,"AAAAAHt+uUU=")</f>
        <v>#REF!</v>
      </c>
      <c r="BS35" t="e">
        <f>AND(#REF!,"AAAAAHt+uUY=")</f>
        <v>#REF!</v>
      </c>
      <c r="BT35" t="e">
        <f>AND(#REF!,"AAAAAHt+uUc=")</f>
        <v>#REF!</v>
      </c>
      <c r="BU35" t="e">
        <f>AND(#REF!,"AAAAAHt+uUg=")</f>
        <v>#REF!</v>
      </c>
      <c r="BV35" t="e">
        <f>AND(#REF!,"AAAAAHt+uUk=")</f>
        <v>#REF!</v>
      </c>
      <c r="BW35" t="e">
        <f>AND(#REF!,"AAAAAHt+uUo=")</f>
        <v>#REF!</v>
      </c>
      <c r="BX35" t="e">
        <f>IF(#REF!,"AAAAAHt+uUs=",0)</f>
        <v>#REF!</v>
      </c>
      <c r="BY35" t="e">
        <f>AND(#REF!,"AAAAAHt+uUw=")</f>
        <v>#REF!</v>
      </c>
      <c r="BZ35" t="e">
        <f>AND(#REF!,"AAAAAHt+uU0=")</f>
        <v>#REF!</v>
      </c>
      <c r="CA35" t="e">
        <f>AND(#REF!,"AAAAAHt+uU4=")</f>
        <v>#REF!</v>
      </c>
      <c r="CB35" t="e">
        <f>AND(#REF!,"AAAAAHt+uU8=")</f>
        <v>#REF!</v>
      </c>
      <c r="CC35" t="e">
        <f>AND(#REF!,"AAAAAHt+uVA=")</f>
        <v>#REF!</v>
      </c>
      <c r="CD35" t="e">
        <f>AND(#REF!,"AAAAAHt+uVE=")</f>
        <v>#REF!</v>
      </c>
      <c r="CE35" t="e">
        <f>AND(#REF!,"AAAAAHt+uVI=")</f>
        <v>#REF!</v>
      </c>
      <c r="CF35" t="e">
        <f>AND(#REF!,"AAAAAHt+uVM=")</f>
        <v>#REF!</v>
      </c>
      <c r="CG35" t="e">
        <f>AND(#REF!,"AAAAAHt+uVQ=")</f>
        <v>#REF!</v>
      </c>
      <c r="CH35" t="e">
        <f>AND(#REF!,"AAAAAHt+uVU=")</f>
        <v>#REF!</v>
      </c>
      <c r="CI35" t="e">
        <f>AND(#REF!,"AAAAAHt+uVY=")</f>
        <v>#REF!</v>
      </c>
      <c r="CJ35" t="e">
        <f>AND(#REF!,"AAAAAHt+uVc=")</f>
        <v>#REF!</v>
      </c>
      <c r="CK35" t="e">
        <f>IF(#REF!,"AAAAAHt+uVg=",0)</f>
        <v>#REF!</v>
      </c>
      <c r="CL35" t="e">
        <f>AND(#REF!,"AAAAAHt+uVk=")</f>
        <v>#REF!</v>
      </c>
      <c r="CM35" t="e">
        <f>AND(#REF!,"AAAAAHt+uVo=")</f>
        <v>#REF!</v>
      </c>
      <c r="CN35" t="e">
        <f>AND(#REF!,"AAAAAHt+uVs=")</f>
        <v>#REF!</v>
      </c>
      <c r="CO35" t="e">
        <f>AND(#REF!,"AAAAAHt+uVw=")</f>
        <v>#REF!</v>
      </c>
      <c r="CP35" t="e">
        <f>AND(#REF!,"AAAAAHt+uV0=")</f>
        <v>#REF!</v>
      </c>
      <c r="CQ35" t="e">
        <f>AND(#REF!,"AAAAAHt+uV4=")</f>
        <v>#REF!</v>
      </c>
      <c r="CR35" t="e">
        <f>AND(#REF!,"AAAAAHt+uV8=")</f>
        <v>#REF!</v>
      </c>
      <c r="CS35" t="e">
        <f>AND(#REF!,"AAAAAHt+uWA=")</f>
        <v>#REF!</v>
      </c>
      <c r="CT35" t="e">
        <f>AND(#REF!,"AAAAAHt+uWE=")</f>
        <v>#REF!</v>
      </c>
      <c r="CU35" t="e">
        <f>AND(#REF!,"AAAAAHt+uWI=")</f>
        <v>#REF!</v>
      </c>
      <c r="CV35" t="e">
        <f>AND(#REF!,"AAAAAHt+uWM=")</f>
        <v>#REF!</v>
      </c>
      <c r="CW35" t="e">
        <f>AND(#REF!,"AAAAAHt+uWQ=")</f>
        <v>#REF!</v>
      </c>
      <c r="CX35" t="e">
        <f>IF(#REF!,"AAAAAHt+uWU=",0)</f>
        <v>#REF!</v>
      </c>
      <c r="CY35" t="e">
        <f>AND(#REF!,"AAAAAHt+uWY=")</f>
        <v>#REF!</v>
      </c>
      <c r="CZ35" t="e">
        <f>AND(#REF!,"AAAAAHt+uWc=")</f>
        <v>#REF!</v>
      </c>
      <c r="DA35" t="e">
        <f>AND(#REF!,"AAAAAHt+uWg=")</f>
        <v>#REF!</v>
      </c>
      <c r="DB35" t="e">
        <f>AND(#REF!,"AAAAAHt+uWk=")</f>
        <v>#REF!</v>
      </c>
      <c r="DC35" t="e">
        <f>AND(#REF!,"AAAAAHt+uWo=")</f>
        <v>#REF!</v>
      </c>
      <c r="DD35" t="e">
        <f>AND(#REF!,"AAAAAHt+uWs=")</f>
        <v>#REF!</v>
      </c>
      <c r="DE35" t="e">
        <f>AND(#REF!,"AAAAAHt+uWw=")</f>
        <v>#REF!</v>
      </c>
      <c r="DF35" t="e">
        <f>AND(#REF!,"AAAAAHt+uW0=")</f>
        <v>#REF!</v>
      </c>
      <c r="DG35" t="e">
        <f>AND(#REF!,"AAAAAHt+uW4=")</f>
        <v>#REF!</v>
      </c>
      <c r="DH35" t="e">
        <f>AND(#REF!,"AAAAAHt+uW8=")</f>
        <v>#REF!</v>
      </c>
      <c r="DI35" t="e">
        <f>AND(#REF!,"AAAAAHt+uXA=")</f>
        <v>#REF!</v>
      </c>
      <c r="DJ35" t="e">
        <f>AND(#REF!,"AAAAAHt+uXE=")</f>
        <v>#REF!</v>
      </c>
      <c r="DK35" t="e">
        <f>IF(#REF!,"AAAAAHt+uXI=",0)</f>
        <v>#REF!</v>
      </c>
      <c r="DL35" t="e">
        <f>AND(#REF!,"AAAAAHt+uXM=")</f>
        <v>#REF!</v>
      </c>
      <c r="DM35" t="e">
        <f>AND(#REF!,"AAAAAHt+uXQ=")</f>
        <v>#REF!</v>
      </c>
      <c r="DN35" t="e">
        <f>AND(#REF!,"AAAAAHt+uXU=")</f>
        <v>#REF!</v>
      </c>
      <c r="DO35" t="e">
        <f>AND(#REF!,"AAAAAHt+uXY=")</f>
        <v>#REF!</v>
      </c>
      <c r="DP35" t="e">
        <f>AND(#REF!,"AAAAAHt+uXc=")</f>
        <v>#REF!</v>
      </c>
      <c r="DQ35" t="e">
        <f>AND(#REF!,"AAAAAHt+uXg=")</f>
        <v>#REF!</v>
      </c>
      <c r="DR35" t="e">
        <f>AND(#REF!,"AAAAAHt+uXk=")</f>
        <v>#REF!</v>
      </c>
      <c r="DS35" t="e">
        <f>AND(#REF!,"AAAAAHt+uXo=")</f>
        <v>#REF!</v>
      </c>
      <c r="DT35" t="e">
        <f>AND(#REF!,"AAAAAHt+uXs=")</f>
        <v>#REF!</v>
      </c>
      <c r="DU35" t="e">
        <f>AND(#REF!,"AAAAAHt+uXw=")</f>
        <v>#REF!</v>
      </c>
      <c r="DV35" t="e">
        <f>AND(#REF!,"AAAAAHt+uX0=")</f>
        <v>#REF!</v>
      </c>
      <c r="DW35" t="e">
        <f>AND(#REF!,"AAAAAHt+uX4=")</f>
        <v>#REF!</v>
      </c>
      <c r="DX35" t="e">
        <f>IF(#REF!,"AAAAAHt+uX8=",0)</f>
        <v>#REF!</v>
      </c>
      <c r="DY35" t="e">
        <f>AND(#REF!,"AAAAAHt+uYA=")</f>
        <v>#REF!</v>
      </c>
      <c r="DZ35" t="e">
        <f>AND(#REF!,"AAAAAHt+uYE=")</f>
        <v>#REF!</v>
      </c>
      <c r="EA35" t="e">
        <f>AND(#REF!,"AAAAAHt+uYI=")</f>
        <v>#REF!</v>
      </c>
      <c r="EB35" t="e">
        <f>AND(#REF!,"AAAAAHt+uYM=")</f>
        <v>#REF!</v>
      </c>
      <c r="EC35" t="e">
        <f>AND(#REF!,"AAAAAHt+uYQ=")</f>
        <v>#REF!</v>
      </c>
      <c r="ED35" t="e">
        <f>AND(#REF!,"AAAAAHt+uYU=")</f>
        <v>#REF!</v>
      </c>
      <c r="EE35" t="e">
        <f>AND(#REF!,"AAAAAHt+uYY=")</f>
        <v>#REF!</v>
      </c>
      <c r="EF35" t="e">
        <f>AND(#REF!,"AAAAAHt+uYc=")</f>
        <v>#REF!</v>
      </c>
      <c r="EG35" t="e">
        <f>AND(#REF!,"AAAAAHt+uYg=")</f>
        <v>#REF!</v>
      </c>
      <c r="EH35" t="e">
        <f>AND(#REF!,"AAAAAHt+uYk=")</f>
        <v>#REF!</v>
      </c>
      <c r="EI35" t="e">
        <f>AND(#REF!,"AAAAAHt+uYo=")</f>
        <v>#REF!</v>
      </c>
      <c r="EJ35" t="e">
        <f>AND(#REF!,"AAAAAHt+uYs=")</f>
        <v>#REF!</v>
      </c>
      <c r="EK35" t="e">
        <f>IF(#REF!,"AAAAAHt+uYw=",0)</f>
        <v>#REF!</v>
      </c>
      <c r="EL35" t="e">
        <f>AND(#REF!,"AAAAAHt+uY0=")</f>
        <v>#REF!</v>
      </c>
      <c r="EM35" t="e">
        <f>AND(#REF!,"AAAAAHt+uY4=")</f>
        <v>#REF!</v>
      </c>
      <c r="EN35" t="e">
        <f>AND(#REF!,"AAAAAHt+uY8=")</f>
        <v>#REF!</v>
      </c>
      <c r="EO35" t="e">
        <f>AND(#REF!,"AAAAAHt+uZA=")</f>
        <v>#REF!</v>
      </c>
      <c r="EP35" t="e">
        <f>AND(#REF!,"AAAAAHt+uZE=")</f>
        <v>#REF!</v>
      </c>
      <c r="EQ35" t="e">
        <f>AND(#REF!,"AAAAAHt+uZI=")</f>
        <v>#REF!</v>
      </c>
      <c r="ER35" t="e">
        <f>AND(#REF!,"AAAAAHt+uZM=")</f>
        <v>#REF!</v>
      </c>
      <c r="ES35" t="e">
        <f>AND(#REF!,"AAAAAHt+uZQ=")</f>
        <v>#REF!</v>
      </c>
      <c r="ET35" t="e">
        <f>AND(#REF!,"AAAAAHt+uZU=")</f>
        <v>#REF!</v>
      </c>
      <c r="EU35" t="e">
        <f>AND(#REF!,"AAAAAHt+uZY=")</f>
        <v>#REF!</v>
      </c>
      <c r="EV35" t="e">
        <f>AND(#REF!,"AAAAAHt+uZc=")</f>
        <v>#REF!</v>
      </c>
      <c r="EW35" t="e">
        <f>AND(#REF!,"AAAAAHt+uZg=")</f>
        <v>#REF!</v>
      </c>
      <c r="EX35" t="e">
        <f>IF(#REF!,"AAAAAHt+uZk=",0)</f>
        <v>#REF!</v>
      </c>
      <c r="EY35" t="e">
        <f>AND(#REF!,"AAAAAHt+uZo=")</f>
        <v>#REF!</v>
      </c>
      <c r="EZ35" t="e">
        <f>AND(#REF!,"AAAAAHt+uZs=")</f>
        <v>#REF!</v>
      </c>
      <c r="FA35" t="e">
        <f>AND(#REF!,"AAAAAHt+uZw=")</f>
        <v>#REF!</v>
      </c>
      <c r="FB35" t="e">
        <f>AND(#REF!,"AAAAAHt+uZ0=")</f>
        <v>#REF!</v>
      </c>
      <c r="FC35" t="e">
        <f>AND(#REF!,"AAAAAHt+uZ4=")</f>
        <v>#REF!</v>
      </c>
      <c r="FD35" t="e">
        <f>AND(#REF!,"AAAAAHt+uZ8=")</f>
        <v>#REF!</v>
      </c>
      <c r="FE35" t="e">
        <f>AND(#REF!,"AAAAAHt+uaA=")</f>
        <v>#REF!</v>
      </c>
      <c r="FF35" t="e">
        <f>AND(#REF!,"AAAAAHt+uaE=")</f>
        <v>#REF!</v>
      </c>
      <c r="FG35" t="e">
        <f>AND(#REF!,"AAAAAHt+uaI=")</f>
        <v>#REF!</v>
      </c>
      <c r="FH35" t="e">
        <f>AND(#REF!,"AAAAAHt+uaM=")</f>
        <v>#REF!</v>
      </c>
      <c r="FI35" t="e">
        <f>AND(#REF!,"AAAAAHt+uaQ=")</f>
        <v>#REF!</v>
      </c>
      <c r="FJ35" t="e">
        <f>AND(#REF!,"AAAAAHt+uaU=")</f>
        <v>#REF!</v>
      </c>
      <c r="FK35" t="e">
        <f>IF(#REF!,"AAAAAHt+uaY=",0)</f>
        <v>#REF!</v>
      </c>
      <c r="FL35" t="e">
        <f>AND(#REF!,"AAAAAHt+uac=")</f>
        <v>#REF!</v>
      </c>
      <c r="FM35" t="e">
        <f>AND(#REF!,"AAAAAHt+uag=")</f>
        <v>#REF!</v>
      </c>
      <c r="FN35" t="e">
        <f>AND(#REF!,"AAAAAHt+uak=")</f>
        <v>#REF!</v>
      </c>
      <c r="FO35" t="e">
        <f>AND(#REF!,"AAAAAHt+uao=")</f>
        <v>#REF!</v>
      </c>
      <c r="FP35" t="e">
        <f>AND(#REF!,"AAAAAHt+uas=")</f>
        <v>#REF!</v>
      </c>
      <c r="FQ35" t="e">
        <f>AND(#REF!,"AAAAAHt+uaw=")</f>
        <v>#REF!</v>
      </c>
      <c r="FR35" t="e">
        <f>AND(#REF!,"AAAAAHt+ua0=")</f>
        <v>#REF!</v>
      </c>
      <c r="FS35" t="e">
        <f>AND(#REF!,"AAAAAHt+ua4=")</f>
        <v>#REF!</v>
      </c>
      <c r="FT35" t="e">
        <f>AND(#REF!,"AAAAAHt+ua8=")</f>
        <v>#REF!</v>
      </c>
      <c r="FU35" t="e">
        <f>AND(#REF!,"AAAAAHt+ubA=")</f>
        <v>#REF!</v>
      </c>
      <c r="FV35" t="e">
        <f>AND(#REF!,"AAAAAHt+ubE=")</f>
        <v>#REF!</v>
      </c>
      <c r="FW35" t="e">
        <f>AND(#REF!,"AAAAAHt+ubI=")</f>
        <v>#REF!</v>
      </c>
      <c r="FX35" t="e">
        <f>IF(#REF!,"AAAAAHt+ubM=",0)</f>
        <v>#REF!</v>
      </c>
      <c r="FY35" t="e">
        <f>AND(#REF!,"AAAAAHt+ubQ=")</f>
        <v>#REF!</v>
      </c>
      <c r="FZ35" t="e">
        <f>AND(#REF!,"AAAAAHt+ubU=")</f>
        <v>#REF!</v>
      </c>
      <c r="GA35" t="e">
        <f>AND(#REF!,"AAAAAHt+ubY=")</f>
        <v>#REF!</v>
      </c>
      <c r="GB35" t="e">
        <f>AND(#REF!,"AAAAAHt+ubc=")</f>
        <v>#REF!</v>
      </c>
      <c r="GC35" t="e">
        <f>AND(#REF!,"AAAAAHt+ubg=")</f>
        <v>#REF!</v>
      </c>
      <c r="GD35" t="e">
        <f>AND(#REF!,"AAAAAHt+ubk=")</f>
        <v>#REF!</v>
      </c>
      <c r="GE35" t="e">
        <f>AND(#REF!,"AAAAAHt+ubo=")</f>
        <v>#REF!</v>
      </c>
      <c r="GF35" t="e">
        <f>AND(#REF!,"AAAAAHt+ubs=")</f>
        <v>#REF!</v>
      </c>
      <c r="GG35" t="e">
        <f>AND(#REF!,"AAAAAHt+ubw=")</f>
        <v>#REF!</v>
      </c>
      <c r="GH35" t="e">
        <f>AND(#REF!,"AAAAAHt+ub0=")</f>
        <v>#REF!</v>
      </c>
      <c r="GI35" t="e">
        <f>AND(#REF!,"AAAAAHt+ub4=")</f>
        <v>#REF!</v>
      </c>
      <c r="GJ35" t="e">
        <f>AND(#REF!,"AAAAAHt+ub8=")</f>
        <v>#REF!</v>
      </c>
      <c r="GK35" t="e">
        <f>IF(#REF!,"AAAAAHt+ucA=",0)</f>
        <v>#REF!</v>
      </c>
      <c r="GL35" t="e">
        <f>AND(#REF!,"AAAAAHt+ucE=")</f>
        <v>#REF!</v>
      </c>
      <c r="GM35" t="e">
        <f>AND(#REF!,"AAAAAHt+ucI=")</f>
        <v>#REF!</v>
      </c>
      <c r="GN35" t="e">
        <f>AND(#REF!,"AAAAAHt+ucM=")</f>
        <v>#REF!</v>
      </c>
      <c r="GO35" t="e">
        <f>AND(#REF!,"AAAAAHt+ucQ=")</f>
        <v>#REF!</v>
      </c>
      <c r="GP35" t="e">
        <f>AND(#REF!,"AAAAAHt+ucU=")</f>
        <v>#REF!</v>
      </c>
      <c r="GQ35" t="e">
        <f>AND(#REF!,"AAAAAHt+ucY=")</f>
        <v>#REF!</v>
      </c>
      <c r="GR35" t="e">
        <f>AND(#REF!,"AAAAAHt+ucc=")</f>
        <v>#REF!</v>
      </c>
      <c r="GS35" t="e">
        <f>AND(#REF!,"AAAAAHt+ucg=")</f>
        <v>#REF!</v>
      </c>
      <c r="GT35" t="e">
        <f>AND(#REF!,"AAAAAHt+uck=")</f>
        <v>#REF!</v>
      </c>
      <c r="GU35" t="e">
        <f>AND(#REF!,"AAAAAHt+uco=")</f>
        <v>#REF!</v>
      </c>
      <c r="GV35" t="e">
        <f>AND(#REF!,"AAAAAHt+ucs=")</f>
        <v>#REF!</v>
      </c>
      <c r="GW35" t="e">
        <f>AND(#REF!,"AAAAAHt+ucw=")</f>
        <v>#REF!</v>
      </c>
      <c r="GX35" t="e">
        <f>IF(#REF!,"AAAAAHt+uc0=",0)</f>
        <v>#REF!</v>
      </c>
      <c r="GY35" t="e">
        <f>AND(#REF!,"AAAAAHt+uc4=")</f>
        <v>#REF!</v>
      </c>
      <c r="GZ35" t="e">
        <f>AND(#REF!,"AAAAAHt+uc8=")</f>
        <v>#REF!</v>
      </c>
      <c r="HA35" t="e">
        <f>AND(#REF!,"AAAAAHt+udA=")</f>
        <v>#REF!</v>
      </c>
      <c r="HB35" t="e">
        <f>AND(#REF!,"AAAAAHt+udE=")</f>
        <v>#REF!</v>
      </c>
      <c r="HC35" t="e">
        <f>AND(#REF!,"AAAAAHt+udI=")</f>
        <v>#REF!</v>
      </c>
      <c r="HD35" t="e">
        <f>AND(#REF!,"AAAAAHt+udM=")</f>
        <v>#REF!</v>
      </c>
      <c r="HE35" t="e">
        <f>AND(#REF!,"AAAAAHt+udQ=")</f>
        <v>#REF!</v>
      </c>
      <c r="HF35" t="e">
        <f>AND(#REF!,"AAAAAHt+udU=")</f>
        <v>#REF!</v>
      </c>
      <c r="HG35" t="e">
        <f>AND(#REF!,"AAAAAHt+udY=")</f>
        <v>#REF!</v>
      </c>
      <c r="HH35" t="e">
        <f>AND(#REF!,"AAAAAHt+udc=")</f>
        <v>#REF!</v>
      </c>
      <c r="HI35" t="e">
        <f>AND(#REF!,"AAAAAHt+udg=")</f>
        <v>#REF!</v>
      </c>
      <c r="HJ35" t="e">
        <f>AND(#REF!,"AAAAAHt+udk=")</f>
        <v>#REF!</v>
      </c>
      <c r="HK35" t="e">
        <f>IF(#REF!,"AAAAAHt+udo=",0)</f>
        <v>#REF!</v>
      </c>
      <c r="HL35" t="e">
        <f>AND(#REF!,"AAAAAHt+uds=")</f>
        <v>#REF!</v>
      </c>
      <c r="HM35" t="e">
        <f>AND(#REF!,"AAAAAHt+udw=")</f>
        <v>#REF!</v>
      </c>
      <c r="HN35" t="e">
        <f>AND(#REF!,"AAAAAHt+ud0=")</f>
        <v>#REF!</v>
      </c>
      <c r="HO35" t="e">
        <f>AND(#REF!,"AAAAAHt+ud4=")</f>
        <v>#REF!</v>
      </c>
      <c r="HP35" t="e">
        <f>AND(#REF!,"AAAAAHt+ud8=")</f>
        <v>#REF!</v>
      </c>
      <c r="HQ35" t="e">
        <f>AND(#REF!,"AAAAAHt+ueA=")</f>
        <v>#REF!</v>
      </c>
      <c r="HR35" t="e">
        <f>AND(#REF!,"AAAAAHt+ueE=")</f>
        <v>#REF!</v>
      </c>
      <c r="HS35" t="e">
        <f>AND(#REF!,"AAAAAHt+ueI=")</f>
        <v>#REF!</v>
      </c>
      <c r="HT35" t="e">
        <f>AND(#REF!,"AAAAAHt+ueM=")</f>
        <v>#REF!</v>
      </c>
      <c r="HU35" t="e">
        <f>AND(#REF!,"AAAAAHt+ueQ=")</f>
        <v>#REF!</v>
      </c>
      <c r="HV35" t="e">
        <f>AND(#REF!,"AAAAAHt+ueU=")</f>
        <v>#REF!</v>
      </c>
      <c r="HW35" t="e">
        <f>AND(#REF!,"AAAAAHt+ueY=")</f>
        <v>#REF!</v>
      </c>
      <c r="HX35" t="e">
        <f>IF(#REF!,"AAAAAHt+uec=",0)</f>
        <v>#REF!</v>
      </c>
      <c r="HY35" t="e">
        <f>AND(#REF!,"AAAAAHt+ueg=")</f>
        <v>#REF!</v>
      </c>
      <c r="HZ35" t="e">
        <f>AND(#REF!,"AAAAAHt+uek=")</f>
        <v>#REF!</v>
      </c>
      <c r="IA35" t="e">
        <f>AND(#REF!,"AAAAAHt+ueo=")</f>
        <v>#REF!</v>
      </c>
      <c r="IB35" t="e">
        <f>AND(#REF!,"AAAAAHt+ues=")</f>
        <v>#REF!</v>
      </c>
      <c r="IC35" t="e">
        <f>AND(#REF!,"AAAAAHt+uew=")</f>
        <v>#REF!</v>
      </c>
      <c r="ID35" t="e">
        <f>AND(#REF!,"AAAAAHt+ue0=")</f>
        <v>#REF!</v>
      </c>
      <c r="IE35" t="e">
        <f>AND(#REF!,"AAAAAHt+ue4=")</f>
        <v>#REF!</v>
      </c>
      <c r="IF35" t="e">
        <f>AND(#REF!,"AAAAAHt+ue8=")</f>
        <v>#REF!</v>
      </c>
      <c r="IG35" t="e">
        <f>AND(#REF!,"AAAAAHt+ufA=")</f>
        <v>#REF!</v>
      </c>
      <c r="IH35" t="e">
        <f>AND(#REF!,"AAAAAHt+ufE=")</f>
        <v>#REF!</v>
      </c>
      <c r="II35" t="e">
        <f>AND(#REF!,"AAAAAHt+ufI=")</f>
        <v>#REF!</v>
      </c>
      <c r="IJ35" t="e">
        <f>AND(#REF!,"AAAAAHt+ufM=")</f>
        <v>#REF!</v>
      </c>
      <c r="IK35" t="e">
        <f>IF(#REF!,"AAAAAHt+ufQ=",0)</f>
        <v>#REF!</v>
      </c>
      <c r="IL35" t="e">
        <f>AND(#REF!,"AAAAAHt+ufU=")</f>
        <v>#REF!</v>
      </c>
      <c r="IM35" t="e">
        <f>AND(#REF!,"AAAAAHt+ufY=")</f>
        <v>#REF!</v>
      </c>
      <c r="IN35" t="e">
        <f>AND(#REF!,"AAAAAHt+ufc=")</f>
        <v>#REF!</v>
      </c>
      <c r="IO35" t="e">
        <f>AND(#REF!,"AAAAAHt+ufg=")</f>
        <v>#REF!</v>
      </c>
      <c r="IP35" t="e">
        <f>AND(#REF!,"AAAAAHt+ufk=")</f>
        <v>#REF!</v>
      </c>
      <c r="IQ35" t="e">
        <f>AND(#REF!,"AAAAAHt+ufo=")</f>
        <v>#REF!</v>
      </c>
      <c r="IR35" t="e">
        <f>AND(#REF!,"AAAAAHt+ufs=")</f>
        <v>#REF!</v>
      </c>
      <c r="IS35" t="e">
        <f>AND(#REF!,"AAAAAHt+ufw=")</f>
        <v>#REF!</v>
      </c>
      <c r="IT35" t="e">
        <f>AND(#REF!,"AAAAAHt+uf0=")</f>
        <v>#REF!</v>
      </c>
      <c r="IU35" t="e">
        <f>AND(#REF!,"AAAAAHt+uf4=")</f>
        <v>#REF!</v>
      </c>
      <c r="IV35" t="e">
        <f>AND(#REF!,"AAAAAHt+uf8=")</f>
        <v>#REF!</v>
      </c>
    </row>
    <row r="36" spans="1:256">
      <c r="A36" t="e">
        <f>AND(#REF!,"AAAAAHf/HwA=")</f>
        <v>#REF!</v>
      </c>
      <c r="B36" t="e">
        <f>IF(#REF!,"AAAAAHf/HwE=",0)</f>
        <v>#REF!</v>
      </c>
      <c r="C36" t="e">
        <f>AND(#REF!,"AAAAAHf/HwI=")</f>
        <v>#REF!</v>
      </c>
      <c r="D36" t="e">
        <f>AND(#REF!,"AAAAAHf/HwM=")</f>
        <v>#REF!</v>
      </c>
      <c r="E36" t="e">
        <f>AND(#REF!,"AAAAAHf/HwQ=")</f>
        <v>#REF!</v>
      </c>
      <c r="F36" t="e">
        <f>AND(#REF!,"AAAAAHf/HwU=")</f>
        <v>#REF!</v>
      </c>
      <c r="G36" t="e">
        <f>AND(#REF!,"AAAAAHf/HwY=")</f>
        <v>#REF!</v>
      </c>
      <c r="H36" t="e">
        <f>AND(#REF!,"AAAAAHf/Hwc=")</f>
        <v>#REF!</v>
      </c>
      <c r="I36" t="e">
        <f>AND(#REF!,"AAAAAHf/Hwg=")</f>
        <v>#REF!</v>
      </c>
      <c r="J36" t="e">
        <f>AND(#REF!,"AAAAAHf/Hwk=")</f>
        <v>#REF!</v>
      </c>
      <c r="K36" t="e">
        <f>AND(#REF!,"AAAAAHf/Hwo=")</f>
        <v>#REF!</v>
      </c>
      <c r="L36" t="e">
        <f>AND(#REF!,"AAAAAHf/Hws=")</f>
        <v>#REF!</v>
      </c>
      <c r="M36" t="e">
        <f>AND(#REF!,"AAAAAHf/Hww=")</f>
        <v>#REF!</v>
      </c>
      <c r="N36" t="e">
        <f>AND(#REF!,"AAAAAHf/Hw0=")</f>
        <v>#REF!</v>
      </c>
      <c r="O36" t="e">
        <f>IF(#REF!,"AAAAAHf/Hw4=",0)</f>
        <v>#REF!</v>
      </c>
      <c r="P36" t="e">
        <f>AND(#REF!,"AAAAAHf/Hw8=")</f>
        <v>#REF!</v>
      </c>
      <c r="Q36" t="e">
        <f>AND(#REF!,"AAAAAHf/HxA=")</f>
        <v>#REF!</v>
      </c>
      <c r="R36" t="e">
        <f>AND(#REF!,"AAAAAHf/HxE=")</f>
        <v>#REF!</v>
      </c>
      <c r="S36" t="e">
        <f>AND(#REF!,"AAAAAHf/HxI=")</f>
        <v>#REF!</v>
      </c>
      <c r="T36" t="e">
        <f>AND(#REF!,"AAAAAHf/HxM=")</f>
        <v>#REF!</v>
      </c>
      <c r="U36" t="e">
        <f>AND(#REF!,"AAAAAHf/HxQ=")</f>
        <v>#REF!</v>
      </c>
      <c r="V36" t="e">
        <f>AND(#REF!,"AAAAAHf/HxU=")</f>
        <v>#REF!</v>
      </c>
      <c r="W36" t="e">
        <f>AND(#REF!,"AAAAAHf/HxY=")</f>
        <v>#REF!</v>
      </c>
      <c r="X36" t="e">
        <f>AND(#REF!,"AAAAAHf/Hxc=")</f>
        <v>#REF!</v>
      </c>
      <c r="Y36" t="e">
        <f>AND(#REF!,"AAAAAHf/Hxg=")</f>
        <v>#REF!</v>
      </c>
      <c r="Z36" t="e">
        <f>AND(#REF!,"AAAAAHf/Hxk=")</f>
        <v>#REF!</v>
      </c>
      <c r="AA36" t="e">
        <f>AND(#REF!,"AAAAAHf/Hxo=")</f>
        <v>#REF!</v>
      </c>
      <c r="AB36" t="e">
        <f>IF(#REF!,"AAAAAHf/Hxs=",0)</f>
        <v>#REF!</v>
      </c>
      <c r="AC36" t="e">
        <f>AND(#REF!,"AAAAAHf/Hxw=")</f>
        <v>#REF!</v>
      </c>
      <c r="AD36" t="e">
        <f>AND(#REF!,"AAAAAHf/Hx0=")</f>
        <v>#REF!</v>
      </c>
      <c r="AE36" t="e">
        <f>AND(#REF!,"AAAAAHf/Hx4=")</f>
        <v>#REF!</v>
      </c>
      <c r="AF36" t="e">
        <f>AND(#REF!,"AAAAAHf/Hx8=")</f>
        <v>#REF!</v>
      </c>
      <c r="AG36" t="e">
        <f>AND(#REF!,"AAAAAHf/HyA=")</f>
        <v>#REF!</v>
      </c>
      <c r="AH36" t="e">
        <f>AND(#REF!,"AAAAAHf/HyE=")</f>
        <v>#REF!</v>
      </c>
      <c r="AI36" t="e">
        <f>AND(#REF!,"AAAAAHf/HyI=")</f>
        <v>#REF!</v>
      </c>
      <c r="AJ36" t="e">
        <f>AND(#REF!,"AAAAAHf/HyM=")</f>
        <v>#REF!</v>
      </c>
      <c r="AK36" t="e">
        <f>AND(#REF!,"AAAAAHf/HyQ=")</f>
        <v>#REF!</v>
      </c>
      <c r="AL36" t="e">
        <f>AND(#REF!,"AAAAAHf/HyU=")</f>
        <v>#REF!</v>
      </c>
      <c r="AM36" t="e">
        <f>AND(#REF!,"AAAAAHf/HyY=")</f>
        <v>#REF!</v>
      </c>
      <c r="AN36" t="e">
        <f>AND(#REF!,"AAAAAHf/Hyc=")</f>
        <v>#REF!</v>
      </c>
      <c r="AO36" t="e">
        <f>IF(#REF!,"AAAAAHf/Hyg=",0)</f>
        <v>#REF!</v>
      </c>
      <c r="AP36" t="e">
        <f>AND(#REF!,"AAAAAHf/Hyk=")</f>
        <v>#REF!</v>
      </c>
      <c r="AQ36" t="e">
        <f>AND(#REF!,"AAAAAHf/Hyo=")</f>
        <v>#REF!</v>
      </c>
      <c r="AR36" t="e">
        <f>AND(#REF!,"AAAAAHf/Hys=")</f>
        <v>#REF!</v>
      </c>
      <c r="AS36" t="e">
        <f>AND(#REF!,"AAAAAHf/Hyw=")</f>
        <v>#REF!</v>
      </c>
      <c r="AT36" t="e">
        <f>AND(#REF!,"AAAAAHf/Hy0=")</f>
        <v>#REF!</v>
      </c>
      <c r="AU36" t="e">
        <f>AND(#REF!,"AAAAAHf/Hy4=")</f>
        <v>#REF!</v>
      </c>
      <c r="AV36" t="e">
        <f>AND(#REF!,"AAAAAHf/Hy8=")</f>
        <v>#REF!</v>
      </c>
      <c r="AW36" t="e">
        <f>AND(#REF!,"AAAAAHf/HzA=")</f>
        <v>#REF!</v>
      </c>
      <c r="AX36" t="e">
        <f>AND(#REF!,"AAAAAHf/HzE=")</f>
        <v>#REF!</v>
      </c>
      <c r="AY36" t="e">
        <f>AND(#REF!,"AAAAAHf/HzI=")</f>
        <v>#REF!</v>
      </c>
      <c r="AZ36" t="e">
        <f>AND(#REF!,"AAAAAHf/HzM=")</f>
        <v>#REF!</v>
      </c>
      <c r="BA36" t="e">
        <f>AND(#REF!,"AAAAAHf/HzQ=")</f>
        <v>#REF!</v>
      </c>
      <c r="BB36" t="e">
        <f>IF(#REF!,"AAAAAHf/HzU=",0)</f>
        <v>#REF!</v>
      </c>
      <c r="BC36" t="e">
        <f>AND(#REF!,"AAAAAHf/HzY=")</f>
        <v>#REF!</v>
      </c>
      <c r="BD36" t="e">
        <f>AND(#REF!,"AAAAAHf/Hzc=")</f>
        <v>#REF!</v>
      </c>
      <c r="BE36" t="e">
        <f>AND(#REF!,"AAAAAHf/Hzg=")</f>
        <v>#REF!</v>
      </c>
      <c r="BF36" t="e">
        <f>AND(#REF!,"AAAAAHf/Hzk=")</f>
        <v>#REF!</v>
      </c>
      <c r="BG36" t="e">
        <f>AND(#REF!,"AAAAAHf/Hzo=")</f>
        <v>#REF!</v>
      </c>
      <c r="BH36" t="e">
        <f>AND(#REF!,"AAAAAHf/Hzs=")</f>
        <v>#REF!</v>
      </c>
      <c r="BI36" t="e">
        <f>AND(#REF!,"AAAAAHf/Hzw=")</f>
        <v>#REF!</v>
      </c>
      <c r="BJ36" t="e">
        <f>AND(#REF!,"AAAAAHf/Hz0=")</f>
        <v>#REF!</v>
      </c>
      <c r="BK36" t="e">
        <f>AND(#REF!,"AAAAAHf/Hz4=")</f>
        <v>#REF!</v>
      </c>
      <c r="BL36" t="e">
        <f>AND(#REF!,"AAAAAHf/Hz8=")</f>
        <v>#REF!</v>
      </c>
      <c r="BM36" t="e">
        <f>AND(#REF!,"AAAAAHf/H0A=")</f>
        <v>#REF!</v>
      </c>
      <c r="BN36" t="e">
        <f>AND(#REF!,"AAAAAHf/H0E=")</f>
        <v>#REF!</v>
      </c>
      <c r="BO36" t="e">
        <f>IF(#REF!,"AAAAAHf/H0I=",0)</f>
        <v>#REF!</v>
      </c>
      <c r="BP36" t="e">
        <f>AND(#REF!,"AAAAAHf/H0M=")</f>
        <v>#REF!</v>
      </c>
      <c r="BQ36" t="e">
        <f>AND(#REF!,"AAAAAHf/H0Q=")</f>
        <v>#REF!</v>
      </c>
      <c r="BR36" t="e">
        <f>AND(#REF!,"AAAAAHf/H0U=")</f>
        <v>#REF!</v>
      </c>
      <c r="BS36" t="e">
        <f>AND(#REF!,"AAAAAHf/H0Y=")</f>
        <v>#REF!</v>
      </c>
      <c r="BT36" t="e">
        <f>AND(#REF!,"AAAAAHf/H0c=")</f>
        <v>#REF!</v>
      </c>
      <c r="BU36" t="e">
        <f>AND(#REF!,"AAAAAHf/H0g=")</f>
        <v>#REF!</v>
      </c>
      <c r="BV36" t="e">
        <f>AND(#REF!,"AAAAAHf/H0k=")</f>
        <v>#REF!</v>
      </c>
      <c r="BW36" t="e">
        <f>AND(#REF!,"AAAAAHf/H0o=")</f>
        <v>#REF!</v>
      </c>
      <c r="BX36" t="e">
        <f>AND(#REF!,"AAAAAHf/H0s=")</f>
        <v>#REF!</v>
      </c>
      <c r="BY36" t="e">
        <f>AND(#REF!,"AAAAAHf/H0w=")</f>
        <v>#REF!</v>
      </c>
      <c r="BZ36" t="e">
        <f>AND(#REF!,"AAAAAHf/H00=")</f>
        <v>#REF!</v>
      </c>
      <c r="CA36" t="e">
        <f>AND(#REF!,"AAAAAHf/H04=")</f>
        <v>#REF!</v>
      </c>
      <c r="CB36" t="e">
        <f>IF(#REF!,"AAAAAHf/H08=",0)</f>
        <v>#REF!</v>
      </c>
      <c r="CC36" t="e">
        <f>AND(#REF!,"AAAAAHf/H1A=")</f>
        <v>#REF!</v>
      </c>
      <c r="CD36" t="e">
        <f>AND(#REF!,"AAAAAHf/H1E=")</f>
        <v>#REF!</v>
      </c>
      <c r="CE36" t="e">
        <f>AND(#REF!,"AAAAAHf/H1I=")</f>
        <v>#REF!</v>
      </c>
      <c r="CF36" t="e">
        <f>AND(#REF!,"AAAAAHf/H1M=")</f>
        <v>#REF!</v>
      </c>
      <c r="CG36" t="e">
        <f>AND(#REF!,"AAAAAHf/H1Q=")</f>
        <v>#REF!</v>
      </c>
      <c r="CH36" t="e">
        <f>AND(#REF!,"AAAAAHf/H1U=")</f>
        <v>#REF!</v>
      </c>
      <c r="CI36" t="e">
        <f>AND(#REF!,"AAAAAHf/H1Y=")</f>
        <v>#REF!</v>
      </c>
      <c r="CJ36" t="e">
        <f>AND(#REF!,"AAAAAHf/H1c=")</f>
        <v>#REF!</v>
      </c>
      <c r="CK36" t="e">
        <f>AND(#REF!,"AAAAAHf/H1g=")</f>
        <v>#REF!</v>
      </c>
      <c r="CL36" t="e">
        <f>AND(#REF!,"AAAAAHf/H1k=")</f>
        <v>#REF!</v>
      </c>
      <c r="CM36" t="e">
        <f>AND(#REF!,"AAAAAHf/H1o=")</f>
        <v>#REF!</v>
      </c>
      <c r="CN36" t="e">
        <f>AND(#REF!,"AAAAAHf/H1s=")</f>
        <v>#REF!</v>
      </c>
      <c r="CO36" t="e">
        <f>IF(#REF!,"AAAAAHf/H1w=",0)</f>
        <v>#REF!</v>
      </c>
      <c r="CP36" t="e">
        <f>AND(#REF!,"AAAAAHf/H10=")</f>
        <v>#REF!</v>
      </c>
      <c r="CQ36" t="e">
        <f>AND(#REF!,"AAAAAHf/H14=")</f>
        <v>#REF!</v>
      </c>
      <c r="CR36" t="e">
        <f>AND(#REF!,"AAAAAHf/H18=")</f>
        <v>#REF!</v>
      </c>
      <c r="CS36" t="e">
        <f>AND(#REF!,"AAAAAHf/H2A=")</f>
        <v>#REF!</v>
      </c>
      <c r="CT36" t="e">
        <f>AND(#REF!,"AAAAAHf/H2E=")</f>
        <v>#REF!</v>
      </c>
      <c r="CU36" t="e">
        <f>AND(#REF!,"AAAAAHf/H2I=")</f>
        <v>#REF!</v>
      </c>
      <c r="CV36" t="e">
        <f>AND(#REF!,"AAAAAHf/H2M=")</f>
        <v>#REF!</v>
      </c>
      <c r="CW36" t="e">
        <f>AND(#REF!,"AAAAAHf/H2Q=")</f>
        <v>#REF!</v>
      </c>
      <c r="CX36" t="e">
        <f>AND(#REF!,"AAAAAHf/H2U=")</f>
        <v>#REF!</v>
      </c>
      <c r="CY36" t="e">
        <f>AND(#REF!,"AAAAAHf/H2Y=")</f>
        <v>#REF!</v>
      </c>
      <c r="CZ36" t="e">
        <f>AND(#REF!,"AAAAAHf/H2c=")</f>
        <v>#REF!</v>
      </c>
      <c r="DA36" t="e">
        <f>AND(#REF!,"AAAAAHf/H2g=")</f>
        <v>#REF!</v>
      </c>
      <c r="DB36" t="e">
        <f>IF(#REF!,"AAAAAHf/H2k=",0)</f>
        <v>#REF!</v>
      </c>
      <c r="DC36" t="e">
        <f>AND(#REF!,"AAAAAHf/H2o=")</f>
        <v>#REF!</v>
      </c>
      <c r="DD36" t="e">
        <f>AND(#REF!,"AAAAAHf/H2s=")</f>
        <v>#REF!</v>
      </c>
      <c r="DE36" t="e">
        <f>AND(#REF!,"AAAAAHf/H2w=")</f>
        <v>#REF!</v>
      </c>
      <c r="DF36" t="e">
        <f>AND(#REF!,"AAAAAHf/H20=")</f>
        <v>#REF!</v>
      </c>
      <c r="DG36" t="e">
        <f>AND(#REF!,"AAAAAHf/H24=")</f>
        <v>#REF!</v>
      </c>
      <c r="DH36" t="e">
        <f>AND(#REF!,"AAAAAHf/H28=")</f>
        <v>#REF!</v>
      </c>
      <c r="DI36" t="e">
        <f>AND(#REF!,"AAAAAHf/H3A=")</f>
        <v>#REF!</v>
      </c>
      <c r="DJ36" t="e">
        <f>AND(#REF!,"AAAAAHf/H3E=")</f>
        <v>#REF!</v>
      </c>
      <c r="DK36" t="e">
        <f>AND(#REF!,"AAAAAHf/H3I=")</f>
        <v>#REF!</v>
      </c>
      <c r="DL36" t="e">
        <f>AND(#REF!,"AAAAAHf/H3M=")</f>
        <v>#REF!</v>
      </c>
      <c r="DM36" t="e">
        <f>AND(#REF!,"AAAAAHf/H3Q=")</f>
        <v>#REF!</v>
      </c>
      <c r="DN36" t="e">
        <f>AND(#REF!,"AAAAAHf/H3U=")</f>
        <v>#REF!</v>
      </c>
      <c r="DO36" t="e">
        <f>IF(#REF!,"AAAAAHf/H3Y=",0)</f>
        <v>#REF!</v>
      </c>
      <c r="DP36" t="e">
        <f>AND(#REF!,"AAAAAHf/H3c=")</f>
        <v>#REF!</v>
      </c>
      <c r="DQ36" t="e">
        <f>AND(#REF!,"AAAAAHf/H3g=")</f>
        <v>#REF!</v>
      </c>
      <c r="DR36" t="e">
        <f>AND(#REF!,"AAAAAHf/H3k=")</f>
        <v>#REF!</v>
      </c>
      <c r="DS36" t="e">
        <f>AND(#REF!,"AAAAAHf/H3o=")</f>
        <v>#REF!</v>
      </c>
      <c r="DT36" t="e">
        <f>AND(#REF!,"AAAAAHf/H3s=")</f>
        <v>#REF!</v>
      </c>
      <c r="DU36" t="e">
        <f>AND(#REF!,"AAAAAHf/H3w=")</f>
        <v>#REF!</v>
      </c>
      <c r="DV36" t="e">
        <f>AND(#REF!,"AAAAAHf/H30=")</f>
        <v>#REF!</v>
      </c>
      <c r="DW36" t="e">
        <f>AND(#REF!,"AAAAAHf/H34=")</f>
        <v>#REF!</v>
      </c>
      <c r="DX36" t="e">
        <f>AND(#REF!,"AAAAAHf/H38=")</f>
        <v>#REF!</v>
      </c>
      <c r="DY36" t="e">
        <f>AND(#REF!,"AAAAAHf/H4A=")</f>
        <v>#REF!</v>
      </c>
      <c r="DZ36" t="e">
        <f>AND(#REF!,"AAAAAHf/H4E=")</f>
        <v>#REF!</v>
      </c>
      <c r="EA36" t="e">
        <f>AND(#REF!,"AAAAAHf/H4I=")</f>
        <v>#REF!</v>
      </c>
      <c r="EB36" t="e">
        <f>IF(#REF!,"AAAAAHf/H4M=",0)</f>
        <v>#REF!</v>
      </c>
      <c r="EC36" t="e">
        <f>AND(#REF!,"AAAAAHf/H4Q=")</f>
        <v>#REF!</v>
      </c>
      <c r="ED36" t="e">
        <f>AND(#REF!,"AAAAAHf/H4U=")</f>
        <v>#REF!</v>
      </c>
      <c r="EE36" t="e">
        <f>AND(#REF!,"AAAAAHf/H4Y=")</f>
        <v>#REF!</v>
      </c>
      <c r="EF36" t="e">
        <f>AND(#REF!,"AAAAAHf/H4c=")</f>
        <v>#REF!</v>
      </c>
      <c r="EG36" t="e">
        <f>AND(#REF!,"AAAAAHf/H4g=")</f>
        <v>#REF!</v>
      </c>
      <c r="EH36" t="e">
        <f>AND(#REF!,"AAAAAHf/H4k=")</f>
        <v>#REF!</v>
      </c>
      <c r="EI36" t="e">
        <f>AND(#REF!,"AAAAAHf/H4o=")</f>
        <v>#REF!</v>
      </c>
      <c r="EJ36" t="e">
        <f>AND(#REF!,"AAAAAHf/H4s=")</f>
        <v>#REF!</v>
      </c>
      <c r="EK36" t="e">
        <f>AND(#REF!,"AAAAAHf/H4w=")</f>
        <v>#REF!</v>
      </c>
      <c r="EL36" t="e">
        <f>AND(#REF!,"AAAAAHf/H40=")</f>
        <v>#REF!</v>
      </c>
      <c r="EM36" t="e">
        <f>AND(#REF!,"AAAAAHf/H44=")</f>
        <v>#REF!</v>
      </c>
      <c r="EN36" t="e">
        <f>AND(#REF!,"AAAAAHf/H48=")</f>
        <v>#REF!</v>
      </c>
      <c r="EO36" t="e">
        <f>IF(#REF!,"AAAAAHf/H5A=",0)</f>
        <v>#REF!</v>
      </c>
      <c r="EP36" t="e">
        <f>AND(#REF!,"AAAAAHf/H5E=")</f>
        <v>#REF!</v>
      </c>
      <c r="EQ36" t="e">
        <f>AND(#REF!,"AAAAAHf/H5I=")</f>
        <v>#REF!</v>
      </c>
      <c r="ER36" t="e">
        <f>AND(#REF!,"AAAAAHf/H5M=")</f>
        <v>#REF!</v>
      </c>
      <c r="ES36" t="e">
        <f>AND(#REF!,"AAAAAHf/H5Q=")</f>
        <v>#REF!</v>
      </c>
      <c r="ET36" t="e">
        <f>AND(#REF!,"AAAAAHf/H5U=")</f>
        <v>#REF!</v>
      </c>
      <c r="EU36" t="e">
        <f>AND(#REF!,"AAAAAHf/H5Y=")</f>
        <v>#REF!</v>
      </c>
      <c r="EV36" t="e">
        <f>AND(#REF!,"AAAAAHf/H5c=")</f>
        <v>#REF!</v>
      </c>
      <c r="EW36" t="e">
        <f>AND(#REF!,"AAAAAHf/H5g=")</f>
        <v>#REF!</v>
      </c>
      <c r="EX36" t="e">
        <f>AND(#REF!,"AAAAAHf/H5k=")</f>
        <v>#REF!</v>
      </c>
      <c r="EY36" t="e">
        <f>AND(#REF!,"AAAAAHf/H5o=")</f>
        <v>#REF!</v>
      </c>
      <c r="EZ36" t="e">
        <f>AND(#REF!,"AAAAAHf/H5s=")</f>
        <v>#REF!</v>
      </c>
      <c r="FA36" t="e">
        <f>AND(#REF!,"AAAAAHf/H5w=")</f>
        <v>#REF!</v>
      </c>
      <c r="FB36" t="e">
        <f>IF(#REF!,"AAAAAHf/H50=",0)</f>
        <v>#REF!</v>
      </c>
      <c r="FC36" t="e">
        <f>AND(#REF!,"AAAAAHf/H54=")</f>
        <v>#REF!</v>
      </c>
      <c r="FD36" t="e">
        <f>AND(#REF!,"AAAAAHf/H58=")</f>
        <v>#REF!</v>
      </c>
      <c r="FE36" t="e">
        <f>AND(#REF!,"AAAAAHf/H6A=")</f>
        <v>#REF!</v>
      </c>
      <c r="FF36" t="e">
        <f>AND(#REF!,"AAAAAHf/H6E=")</f>
        <v>#REF!</v>
      </c>
      <c r="FG36" t="e">
        <f>AND(#REF!,"AAAAAHf/H6I=")</f>
        <v>#REF!</v>
      </c>
      <c r="FH36" t="e">
        <f>AND(#REF!,"AAAAAHf/H6M=")</f>
        <v>#REF!</v>
      </c>
      <c r="FI36" t="e">
        <f>AND(#REF!,"AAAAAHf/H6Q=")</f>
        <v>#REF!</v>
      </c>
      <c r="FJ36" t="e">
        <f>AND(#REF!,"AAAAAHf/H6U=")</f>
        <v>#REF!</v>
      </c>
      <c r="FK36" t="e">
        <f>AND(#REF!,"AAAAAHf/H6Y=")</f>
        <v>#REF!</v>
      </c>
      <c r="FL36" t="e">
        <f>AND(#REF!,"AAAAAHf/H6c=")</f>
        <v>#REF!</v>
      </c>
      <c r="FM36" t="e">
        <f>AND(#REF!,"AAAAAHf/H6g=")</f>
        <v>#REF!</v>
      </c>
      <c r="FN36" t="e">
        <f>AND(#REF!,"AAAAAHf/H6k=")</f>
        <v>#REF!</v>
      </c>
      <c r="FO36" t="e">
        <f>IF(#REF!,"AAAAAHf/H6o=",0)</f>
        <v>#REF!</v>
      </c>
      <c r="FP36" t="e">
        <f>AND(#REF!,"AAAAAHf/H6s=")</f>
        <v>#REF!</v>
      </c>
      <c r="FQ36" t="e">
        <f>AND(#REF!,"AAAAAHf/H6w=")</f>
        <v>#REF!</v>
      </c>
      <c r="FR36" t="e">
        <f>AND(#REF!,"AAAAAHf/H60=")</f>
        <v>#REF!</v>
      </c>
      <c r="FS36" t="e">
        <f>AND(#REF!,"AAAAAHf/H64=")</f>
        <v>#REF!</v>
      </c>
      <c r="FT36" t="e">
        <f>AND(#REF!,"AAAAAHf/H68=")</f>
        <v>#REF!</v>
      </c>
      <c r="FU36" t="e">
        <f>AND(#REF!,"AAAAAHf/H7A=")</f>
        <v>#REF!</v>
      </c>
      <c r="FV36" t="e">
        <f>AND(#REF!,"AAAAAHf/H7E=")</f>
        <v>#REF!</v>
      </c>
      <c r="FW36" t="e">
        <f>AND(#REF!,"AAAAAHf/H7I=")</f>
        <v>#REF!</v>
      </c>
      <c r="FX36" t="e">
        <f>AND(#REF!,"AAAAAHf/H7M=")</f>
        <v>#REF!</v>
      </c>
      <c r="FY36" t="e">
        <f>AND(#REF!,"AAAAAHf/H7Q=")</f>
        <v>#REF!</v>
      </c>
      <c r="FZ36" t="e">
        <f>AND(#REF!,"AAAAAHf/H7U=")</f>
        <v>#REF!</v>
      </c>
      <c r="GA36" t="e">
        <f>AND(#REF!,"AAAAAHf/H7Y=")</f>
        <v>#REF!</v>
      </c>
      <c r="GB36" t="e">
        <f>IF(#REF!,"AAAAAHf/H7c=",0)</f>
        <v>#REF!</v>
      </c>
      <c r="GC36" t="e">
        <f>AND(#REF!,"AAAAAHf/H7g=")</f>
        <v>#REF!</v>
      </c>
      <c r="GD36" t="e">
        <f>AND(#REF!,"AAAAAHf/H7k=")</f>
        <v>#REF!</v>
      </c>
      <c r="GE36" t="e">
        <f>AND(#REF!,"AAAAAHf/H7o=")</f>
        <v>#REF!</v>
      </c>
      <c r="GF36" t="e">
        <f>AND(#REF!,"AAAAAHf/H7s=")</f>
        <v>#REF!</v>
      </c>
      <c r="GG36" t="e">
        <f>AND(#REF!,"AAAAAHf/H7w=")</f>
        <v>#REF!</v>
      </c>
      <c r="GH36" t="e">
        <f>AND(#REF!,"AAAAAHf/H70=")</f>
        <v>#REF!</v>
      </c>
      <c r="GI36" t="e">
        <f>AND(#REF!,"AAAAAHf/H74=")</f>
        <v>#REF!</v>
      </c>
      <c r="GJ36" t="e">
        <f>AND(#REF!,"AAAAAHf/H78=")</f>
        <v>#REF!</v>
      </c>
      <c r="GK36" t="e">
        <f>AND(#REF!,"AAAAAHf/H8A=")</f>
        <v>#REF!</v>
      </c>
      <c r="GL36" t="e">
        <f>AND(#REF!,"AAAAAHf/H8E=")</f>
        <v>#REF!</v>
      </c>
      <c r="GM36" t="e">
        <f>AND(#REF!,"AAAAAHf/H8I=")</f>
        <v>#REF!</v>
      </c>
      <c r="GN36" t="e">
        <f>AND(#REF!,"AAAAAHf/H8M=")</f>
        <v>#REF!</v>
      </c>
      <c r="GO36" t="e">
        <f>IF(#REF!,"AAAAAHf/H8Q=",0)</f>
        <v>#REF!</v>
      </c>
      <c r="GP36" t="e">
        <f>AND(#REF!,"AAAAAHf/H8U=")</f>
        <v>#REF!</v>
      </c>
      <c r="GQ36" t="e">
        <f>AND(#REF!,"AAAAAHf/H8Y=")</f>
        <v>#REF!</v>
      </c>
      <c r="GR36" t="e">
        <f>AND(#REF!,"AAAAAHf/H8c=")</f>
        <v>#REF!</v>
      </c>
      <c r="GS36" t="e">
        <f>IF(#REF!,"AAAAAHf/H8g=",0)</f>
        <v>#REF!</v>
      </c>
      <c r="GT36" t="e">
        <f>AND(#REF!,"AAAAAHf/H8k=")</f>
        <v>#REF!</v>
      </c>
      <c r="GU36" t="e">
        <f>AND(#REF!,"AAAAAHf/H8o=")</f>
        <v>#REF!</v>
      </c>
      <c r="GV36" t="e">
        <f>AND(#REF!,"AAAAAHf/H8s=")</f>
        <v>#REF!</v>
      </c>
      <c r="GW36" t="e">
        <f>IF(#REF!,"AAAAAHf/H8w=",0)</f>
        <v>#REF!</v>
      </c>
      <c r="GX36" t="e">
        <f>AND(#REF!,"AAAAAHf/H80=")</f>
        <v>#REF!</v>
      </c>
      <c r="GY36" t="e">
        <f>AND(#REF!,"AAAAAHf/H84=")</f>
        <v>#REF!</v>
      </c>
      <c r="GZ36" t="e">
        <f>AND(#REF!,"AAAAAHf/H88=")</f>
        <v>#REF!</v>
      </c>
      <c r="HA36" t="e">
        <f>IF(#REF!,"AAAAAHf/H9A=",0)</f>
        <v>#REF!</v>
      </c>
      <c r="HB36" t="e">
        <f>AND(#REF!,"AAAAAHf/H9E=")</f>
        <v>#REF!</v>
      </c>
      <c r="HC36" t="e">
        <f>AND(#REF!,"AAAAAHf/H9I=")</f>
        <v>#REF!</v>
      </c>
      <c r="HD36" t="e">
        <f>AND(#REF!,"AAAAAHf/H9M=")</f>
        <v>#REF!</v>
      </c>
      <c r="HE36" t="e">
        <f>IF(#REF!,"AAAAAHf/H9Q=",0)</f>
        <v>#REF!</v>
      </c>
      <c r="HF36" t="e">
        <f>AND(#REF!,"AAAAAHf/H9U=")</f>
        <v>#REF!</v>
      </c>
      <c r="HG36" t="e">
        <f>AND(#REF!,"AAAAAHf/H9Y=")</f>
        <v>#REF!</v>
      </c>
      <c r="HH36" t="e">
        <f>AND(#REF!,"AAAAAHf/H9c=")</f>
        <v>#REF!</v>
      </c>
      <c r="HI36" t="e">
        <f>IF(#REF!,"AAAAAHf/H9g=",0)</f>
        <v>#REF!</v>
      </c>
      <c r="HJ36" t="e">
        <f>AND(#REF!,"AAAAAHf/H9k=")</f>
        <v>#REF!</v>
      </c>
      <c r="HK36" t="e">
        <f>AND(#REF!,"AAAAAHf/H9o=")</f>
        <v>#REF!</v>
      </c>
      <c r="HL36" t="e">
        <f>AND(#REF!,"AAAAAHf/H9s=")</f>
        <v>#REF!</v>
      </c>
      <c r="HM36" t="e">
        <f>IF(#REF!,"AAAAAHf/H9w=",0)</f>
        <v>#REF!</v>
      </c>
      <c r="HN36" t="e">
        <f>AND(#REF!,"AAAAAHf/H90=")</f>
        <v>#REF!</v>
      </c>
      <c r="HO36" t="e">
        <f>AND(#REF!,"AAAAAHf/H94=")</f>
        <v>#REF!</v>
      </c>
      <c r="HP36" t="e">
        <f>AND(#REF!,"AAAAAHf/H98=")</f>
        <v>#REF!</v>
      </c>
      <c r="HQ36" t="e">
        <f>IF(#REF!,"AAAAAHf/H+A=",0)</f>
        <v>#REF!</v>
      </c>
      <c r="HR36" t="e">
        <f>AND(#REF!,"AAAAAHf/H+E=")</f>
        <v>#REF!</v>
      </c>
      <c r="HS36" t="e">
        <f>AND(#REF!,"AAAAAHf/H+I=")</f>
        <v>#REF!</v>
      </c>
      <c r="HT36" t="e">
        <f>AND(#REF!,"AAAAAHf/H+M=")</f>
        <v>#REF!</v>
      </c>
      <c r="HU36" t="e">
        <f>IF(#REF!,"AAAAAHf/H+Q=",0)</f>
        <v>#REF!</v>
      </c>
      <c r="HV36" t="e">
        <f>AND(#REF!,"AAAAAHf/H+U=")</f>
        <v>#REF!</v>
      </c>
      <c r="HW36" t="e">
        <f>AND(#REF!,"AAAAAHf/H+Y=")</f>
        <v>#REF!</v>
      </c>
      <c r="HX36" t="e">
        <f>AND(#REF!,"AAAAAHf/H+c=")</f>
        <v>#REF!</v>
      </c>
      <c r="HY36" t="e">
        <f>IF(#REF!,"AAAAAHf/H+g=",0)</f>
        <v>#REF!</v>
      </c>
      <c r="HZ36" t="e">
        <f>AND(#REF!,"AAAAAHf/H+k=")</f>
        <v>#REF!</v>
      </c>
      <c r="IA36" t="e">
        <f>AND(#REF!,"AAAAAHf/H+o=")</f>
        <v>#REF!</v>
      </c>
      <c r="IB36" t="e">
        <f>AND(#REF!,"AAAAAHf/H+s=")</f>
        <v>#REF!</v>
      </c>
      <c r="IC36" t="e">
        <f>IF(#REF!,"AAAAAHf/H+w=",0)</f>
        <v>#REF!</v>
      </c>
      <c r="ID36" t="e">
        <f>IF(#REF!,"AAAAAHf/H+0=",0)</f>
        <v>#REF!</v>
      </c>
      <c r="IE36" t="e">
        <f>IF(#REF!,"AAAAAHf/H+4=",0)</f>
        <v>#REF!</v>
      </c>
      <c r="IF36" t="e">
        <f>IF(#REF!,"AAAAAHf/H+8=",0)</f>
        <v>#REF!</v>
      </c>
      <c r="IG36" t="e">
        <f>IF(#REF!,"AAAAAHf/H/A=",0)</f>
        <v>#REF!</v>
      </c>
      <c r="IH36" t="e">
        <f>IF(#REF!,"AAAAAHf/H/E=",0)</f>
        <v>#REF!</v>
      </c>
      <c r="II36" t="e">
        <f>IF(#REF!,"AAAAAHf/H/I=",0)</f>
        <v>#REF!</v>
      </c>
      <c r="IJ36" t="e">
        <f>IF(#REF!,"AAAAAHf/H/M=",0)</f>
        <v>#REF!</v>
      </c>
      <c r="IK36" t="e">
        <f>IF(#REF!,"AAAAAHf/H/Q=",0)</f>
        <v>#REF!</v>
      </c>
      <c r="IL36" t="e">
        <f>IF(#REF!,"AAAAAHf/H/U=",0)</f>
        <v>#REF!</v>
      </c>
      <c r="IM36" t="e">
        <f>IF(#REF!,"AAAAAHf/H/Y=",0)</f>
        <v>#REF!</v>
      </c>
      <c r="IN36" t="e">
        <f>IF(#REF!,"AAAAAHf/H/c=",0)</f>
        <v>#REF!</v>
      </c>
      <c r="IO36" t="e">
        <f>IF(#REF!,"AAAAAHf/H/g=",0)</f>
        <v>#REF!</v>
      </c>
      <c r="IP36" t="e">
        <f>AND(#REF!,"AAAAAHf/H/k=")</f>
        <v>#REF!</v>
      </c>
      <c r="IQ36" t="e">
        <f>AND(#REF!,"AAAAAHf/H/o=")</f>
        <v>#REF!</v>
      </c>
      <c r="IR36" t="e">
        <f>AND(#REF!,"AAAAAHf/H/s=")</f>
        <v>#REF!</v>
      </c>
      <c r="IS36" t="e">
        <f>AND(#REF!,"AAAAAHf/H/w=")</f>
        <v>#REF!</v>
      </c>
      <c r="IT36" t="e">
        <f>AND(#REF!,"AAAAAHf/H/0=")</f>
        <v>#REF!</v>
      </c>
      <c r="IU36" t="e">
        <f>AND(#REF!,"AAAAAHf/H/4=")</f>
        <v>#REF!</v>
      </c>
      <c r="IV36" t="e">
        <f>AND(#REF!,"AAAAAHf/H/8=")</f>
        <v>#REF!</v>
      </c>
    </row>
    <row r="37" spans="1:256">
      <c r="A37" t="e">
        <f>AND(#REF!,"AAAAAEf96wA=")</f>
        <v>#REF!</v>
      </c>
      <c r="B37" t="e">
        <f>AND(#REF!,"AAAAAEf96wE=")</f>
        <v>#REF!</v>
      </c>
      <c r="C37" t="e">
        <f>AND(#REF!,"AAAAAEf96wI=")</f>
        <v>#REF!</v>
      </c>
      <c r="D37" t="e">
        <f>AND(#REF!,"AAAAAEf96wM=")</f>
        <v>#REF!</v>
      </c>
      <c r="E37" t="e">
        <f>AND(#REF!,"AAAAAEf96wQ=")</f>
        <v>#REF!</v>
      </c>
      <c r="F37" t="e">
        <f>IF(#REF!,"AAAAAEf96wU=",0)</f>
        <v>#REF!</v>
      </c>
      <c r="G37" t="e">
        <f>AND(#REF!,"AAAAAEf96wY=")</f>
        <v>#REF!</v>
      </c>
      <c r="H37" t="e">
        <f>AND(#REF!,"AAAAAEf96wc=")</f>
        <v>#REF!</v>
      </c>
      <c r="I37" t="e">
        <f>AND(#REF!,"AAAAAEf96wg=")</f>
        <v>#REF!</v>
      </c>
      <c r="J37" t="e">
        <f>AND(#REF!,"AAAAAEf96wk=")</f>
        <v>#REF!</v>
      </c>
      <c r="K37" t="e">
        <f>AND(#REF!,"AAAAAEf96wo=")</f>
        <v>#REF!</v>
      </c>
      <c r="L37" t="e">
        <f>AND(#REF!,"AAAAAEf96ws=")</f>
        <v>#REF!</v>
      </c>
      <c r="M37" t="e">
        <f>AND(#REF!,"AAAAAEf96ww=")</f>
        <v>#REF!</v>
      </c>
      <c r="N37" t="e">
        <f>AND(#REF!,"AAAAAEf96w0=")</f>
        <v>#REF!</v>
      </c>
      <c r="O37" t="e">
        <f>AND(#REF!,"AAAAAEf96w4=")</f>
        <v>#REF!</v>
      </c>
      <c r="P37" t="e">
        <f>AND(#REF!,"AAAAAEf96w8=")</f>
        <v>#REF!</v>
      </c>
      <c r="Q37" t="e">
        <f>AND(#REF!,"AAAAAEf96xA=")</f>
        <v>#REF!</v>
      </c>
      <c r="R37" t="e">
        <f>AND(#REF!,"AAAAAEf96xE=")</f>
        <v>#REF!</v>
      </c>
      <c r="S37" t="e">
        <f>IF(#REF!,"AAAAAEf96xI=",0)</f>
        <v>#REF!</v>
      </c>
      <c r="T37" t="e">
        <f>AND(#REF!,"AAAAAEf96xM=")</f>
        <v>#REF!</v>
      </c>
      <c r="U37" t="e">
        <f>AND(#REF!,"AAAAAEf96xQ=")</f>
        <v>#REF!</v>
      </c>
      <c r="V37" t="e">
        <f>AND(#REF!,"AAAAAEf96xU=")</f>
        <v>#REF!</v>
      </c>
      <c r="W37" t="e">
        <f>AND(#REF!,"AAAAAEf96xY=")</f>
        <v>#REF!</v>
      </c>
      <c r="X37" t="e">
        <f>AND(#REF!,"AAAAAEf96xc=")</f>
        <v>#REF!</v>
      </c>
      <c r="Y37" t="e">
        <f>AND(#REF!,"AAAAAEf96xg=")</f>
        <v>#REF!</v>
      </c>
      <c r="Z37" t="e">
        <f>AND(#REF!,"AAAAAEf96xk=")</f>
        <v>#REF!</v>
      </c>
      <c r="AA37" t="e">
        <f>AND(#REF!,"AAAAAEf96xo=")</f>
        <v>#REF!</v>
      </c>
      <c r="AB37" t="e">
        <f>AND(#REF!,"AAAAAEf96xs=")</f>
        <v>#REF!</v>
      </c>
      <c r="AC37" t="e">
        <f>AND(#REF!,"AAAAAEf96xw=")</f>
        <v>#REF!</v>
      </c>
      <c r="AD37" t="e">
        <f>AND(#REF!,"AAAAAEf96x0=")</f>
        <v>#REF!</v>
      </c>
      <c r="AE37" t="e">
        <f>AND(#REF!,"AAAAAEf96x4=")</f>
        <v>#REF!</v>
      </c>
      <c r="AF37" t="e">
        <f>IF(#REF!,"AAAAAEf96x8=",0)</f>
        <v>#REF!</v>
      </c>
      <c r="AG37" t="e">
        <f>AND(#REF!,"AAAAAEf96yA=")</f>
        <v>#REF!</v>
      </c>
      <c r="AH37" t="e">
        <f>AND(#REF!,"AAAAAEf96yE=")</f>
        <v>#REF!</v>
      </c>
      <c r="AI37" t="e">
        <f>AND(#REF!,"AAAAAEf96yI=")</f>
        <v>#REF!</v>
      </c>
      <c r="AJ37" t="e">
        <f>AND(#REF!,"AAAAAEf96yM=")</f>
        <v>#REF!</v>
      </c>
      <c r="AK37" t="e">
        <f>AND(#REF!,"AAAAAEf96yQ=")</f>
        <v>#REF!</v>
      </c>
      <c r="AL37" t="e">
        <f>AND(#REF!,"AAAAAEf96yU=")</f>
        <v>#REF!</v>
      </c>
      <c r="AM37" t="e">
        <f>AND(#REF!,"AAAAAEf96yY=")</f>
        <v>#REF!</v>
      </c>
      <c r="AN37" t="e">
        <f>AND(#REF!,"AAAAAEf96yc=")</f>
        <v>#REF!</v>
      </c>
      <c r="AO37" t="e">
        <f>AND(#REF!,"AAAAAEf96yg=")</f>
        <v>#REF!</v>
      </c>
      <c r="AP37" t="e">
        <f>AND(#REF!,"AAAAAEf96yk=")</f>
        <v>#REF!</v>
      </c>
      <c r="AQ37" t="e">
        <f>AND(#REF!,"AAAAAEf96yo=")</f>
        <v>#REF!</v>
      </c>
      <c r="AR37" t="e">
        <f>AND(#REF!,"AAAAAEf96ys=")</f>
        <v>#REF!</v>
      </c>
      <c r="AS37" t="e">
        <f>IF(#REF!,"AAAAAEf96yw=",0)</f>
        <v>#REF!</v>
      </c>
      <c r="AT37" t="e">
        <f>AND(#REF!,"AAAAAEf96y0=")</f>
        <v>#REF!</v>
      </c>
      <c r="AU37" t="e">
        <f>AND(#REF!,"AAAAAEf96y4=")</f>
        <v>#REF!</v>
      </c>
      <c r="AV37" t="e">
        <f>AND(#REF!,"AAAAAEf96y8=")</f>
        <v>#REF!</v>
      </c>
      <c r="AW37" t="e">
        <f>AND(#REF!,"AAAAAEf96zA=")</f>
        <v>#REF!</v>
      </c>
      <c r="AX37" t="e">
        <f>AND(#REF!,"AAAAAEf96zE=")</f>
        <v>#REF!</v>
      </c>
      <c r="AY37" t="e">
        <f>AND(#REF!,"AAAAAEf96zI=")</f>
        <v>#REF!</v>
      </c>
      <c r="AZ37" t="e">
        <f>AND(#REF!,"AAAAAEf96zM=")</f>
        <v>#REF!</v>
      </c>
      <c r="BA37" t="e">
        <f>AND(#REF!,"AAAAAEf96zQ=")</f>
        <v>#REF!</v>
      </c>
      <c r="BB37" t="e">
        <f>AND(#REF!,"AAAAAEf96zU=")</f>
        <v>#REF!</v>
      </c>
      <c r="BC37" t="e">
        <f>AND(#REF!,"AAAAAEf96zY=")</f>
        <v>#REF!</v>
      </c>
      <c r="BD37" t="e">
        <f>AND(#REF!,"AAAAAEf96zc=")</f>
        <v>#REF!</v>
      </c>
      <c r="BE37" t="e">
        <f>AND(#REF!,"AAAAAEf96zg=")</f>
        <v>#REF!</v>
      </c>
      <c r="BF37" t="e">
        <f>IF(#REF!,"AAAAAEf96zk=",0)</f>
        <v>#REF!</v>
      </c>
      <c r="BG37" t="e">
        <f>AND(#REF!,"AAAAAEf96zo=")</f>
        <v>#REF!</v>
      </c>
      <c r="BH37" t="e">
        <f>AND(#REF!,"AAAAAEf96zs=")</f>
        <v>#REF!</v>
      </c>
      <c r="BI37" t="e">
        <f>AND(#REF!,"AAAAAEf96zw=")</f>
        <v>#REF!</v>
      </c>
      <c r="BJ37" t="e">
        <f>AND(#REF!,"AAAAAEf96z0=")</f>
        <v>#REF!</v>
      </c>
      <c r="BK37" t="e">
        <f>AND(#REF!,"AAAAAEf96z4=")</f>
        <v>#REF!</v>
      </c>
      <c r="BL37" t="e">
        <f>AND(#REF!,"AAAAAEf96z8=")</f>
        <v>#REF!</v>
      </c>
      <c r="BM37" t="e">
        <f>AND(#REF!,"AAAAAEf960A=")</f>
        <v>#REF!</v>
      </c>
      <c r="BN37" t="e">
        <f>AND(#REF!,"AAAAAEf960E=")</f>
        <v>#REF!</v>
      </c>
      <c r="BO37" t="e">
        <f>AND(#REF!,"AAAAAEf960I=")</f>
        <v>#REF!</v>
      </c>
      <c r="BP37" t="e">
        <f>AND(#REF!,"AAAAAEf960M=")</f>
        <v>#REF!</v>
      </c>
      <c r="BQ37" t="e">
        <f>AND(#REF!,"AAAAAEf960Q=")</f>
        <v>#REF!</v>
      </c>
      <c r="BR37" t="e">
        <f>AND(#REF!,"AAAAAEf960U=")</f>
        <v>#REF!</v>
      </c>
      <c r="BS37" t="e">
        <f>IF(#REF!,"AAAAAEf960Y=",0)</f>
        <v>#REF!</v>
      </c>
      <c r="BT37" t="e">
        <f>AND(#REF!,"AAAAAEf960c=")</f>
        <v>#REF!</v>
      </c>
      <c r="BU37" t="e">
        <f>AND(#REF!,"AAAAAEf960g=")</f>
        <v>#REF!</v>
      </c>
      <c r="BV37" t="e">
        <f>AND(#REF!,"AAAAAEf960k=")</f>
        <v>#REF!</v>
      </c>
      <c r="BW37" t="e">
        <f>AND(#REF!,"AAAAAEf960o=")</f>
        <v>#REF!</v>
      </c>
      <c r="BX37" t="e">
        <f>AND(#REF!,"AAAAAEf960s=")</f>
        <v>#REF!</v>
      </c>
      <c r="BY37" t="e">
        <f>AND(#REF!,"AAAAAEf960w=")</f>
        <v>#REF!</v>
      </c>
      <c r="BZ37" t="e">
        <f>AND(#REF!,"AAAAAEf9600=")</f>
        <v>#REF!</v>
      </c>
      <c r="CA37" t="e">
        <f>AND(#REF!,"AAAAAEf9604=")</f>
        <v>#REF!</v>
      </c>
      <c r="CB37" t="e">
        <f>AND(#REF!,"AAAAAEf9608=")</f>
        <v>#REF!</v>
      </c>
      <c r="CC37" t="e">
        <f>AND(#REF!,"AAAAAEf961A=")</f>
        <v>#REF!</v>
      </c>
      <c r="CD37" t="e">
        <f>AND(#REF!,"AAAAAEf961E=")</f>
        <v>#REF!</v>
      </c>
      <c r="CE37" t="e">
        <f>AND(#REF!,"AAAAAEf961I=")</f>
        <v>#REF!</v>
      </c>
      <c r="CF37" t="e">
        <f>IF(#REF!,"AAAAAEf961M=",0)</f>
        <v>#REF!</v>
      </c>
      <c r="CG37" t="e">
        <f>AND(#REF!,"AAAAAEf961Q=")</f>
        <v>#REF!</v>
      </c>
      <c r="CH37" t="e">
        <f>AND(#REF!,"AAAAAEf961U=")</f>
        <v>#REF!</v>
      </c>
      <c r="CI37" t="e">
        <f>AND(#REF!,"AAAAAEf961Y=")</f>
        <v>#REF!</v>
      </c>
      <c r="CJ37" t="e">
        <f>AND(#REF!,"AAAAAEf961c=")</f>
        <v>#REF!</v>
      </c>
      <c r="CK37" t="e">
        <f>AND(#REF!,"AAAAAEf961g=")</f>
        <v>#REF!</v>
      </c>
      <c r="CL37" t="e">
        <f>AND(#REF!,"AAAAAEf961k=")</f>
        <v>#REF!</v>
      </c>
      <c r="CM37" t="e">
        <f>AND(#REF!,"AAAAAEf961o=")</f>
        <v>#REF!</v>
      </c>
      <c r="CN37" t="e">
        <f>AND(#REF!,"AAAAAEf961s=")</f>
        <v>#REF!</v>
      </c>
      <c r="CO37" t="e">
        <f>AND(#REF!,"AAAAAEf961w=")</f>
        <v>#REF!</v>
      </c>
      <c r="CP37" t="e">
        <f>AND(#REF!,"AAAAAEf9610=")</f>
        <v>#REF!</v>
      </c>
      <c r="CQ37" t="e">
        <f>AND(#REF!,"AAAAAEf9614=")</f>
        <v>#REF!</v>
      </c>
      <c r="CR37" t="e">
        <f>AND(#REF!,"AAAAAEf9618=")</f>
        <v>#REF!</v>
      </c>
      <c r="CS37" t="e">
        <f>IF(#REF!,"AAAAAEf962A=",0)</f>
        <v>#REF!</v>
      </c>
      <c r="CT37" t="e">
        <f>AND(#REF!,"AAAAAEf962E=")</f>
        <v>#REF!</v>
      </c>
      <c r="CU37" t="e">
        <f>AND(#REF!,"AAAAAEf962I=")</f>
        <v>#REF!</v>
      </c>
      <c r="CV37" t="e">
        <f>AND(#REF!,"AAAAAEf962M=")</f>
        <v>#REF!</v>
      </c>
      <c r="CW37" t="e">
        <f>AND(#REF!,"AAAAAEf962Q=")</f>
        <v>#REF!</v>
      </c>
      <c r="CX37" t="e">
        <f>AND(#REF!,"AAAAAEf962U=")</f>
        <v>#REF!</v>
      </c>
      <c r="CY37" t="e">
        <f>AND(#REF!,"AAAAAEf962Y=")</f>
        <v>#REF!</v>
      </c>
      <c r="CZ37" t="e">
        <f>AND(#REF!,"AAAAAEf962c=")</f>
        <v>#REF!</v>
      </c>
      <c r="DA37" t="e">
        <f>AND(#REF!,"AAAAAEf962g=")</f>
        <v>#REF!</v>
      </c>
      <c r="DB37" t="e">
        <f>AND(#REF!,"AAAAAEf962k=")</f>
        <v>#REF!</v>
      </c>
      <c r="DC37" t="e">
        <f>AND(#REF!,"AAAAAEf962o=")</f>
        <v>#REF!</v>
      </c>
      <c r="DD37" t="e">
        <f>AND(#REF!,"AAAAAEf962s=")</f>
        <v>#REF!</v>
      </c>
      <c r="DE37" t="e">
        <f>AND(#REF!,"AAAAAEf962w=")</f>
        <v>#REF!</v>
      </c>
      <c r="DF37" t="e">
        <f>IF(#REF!,"AAAAAEf9620=",0)</f>
        <v>#REF!</v>
      </c>
      <c r="DG37" t="e">
        <f>AND(#REF!,"AAAAAEf9624=")</f>
        <v>#REF!</v>
      </c>
      <c r="DH37" t="e">
        <f>AND(#REF!,"AAAAAEf9628=")</f>
        <v>#REF!</v>
      </c>
      <c r="DI37" t="e">
        <f>AND(#REF!,"AAAAAEf963A=")</f>
        <v>#REF!</v>
      </c>
      <c r="DJ37" t="e">
        <f>IF(#REF!,"AAAAAEf963E=",0)</f>
        <v>#REF!</v>
      </c>
      <c r="DK37" t="e">
        <f>AND(#REF!,"AAAAAEf963I=")</f>
        <v>#REF!</v>
      </c>
      <c r="DL37" t="e">
        <f>AND(#REF!,"AAAAAEf963M=")</f>
        <v>#REF!</v>
      </c>
      <c r="DM37" t="e">
        <f>AND(#REF!,"AAAAAEf963Q=")</f>
        <v>#REF!</v>
      </c>
      <c r="DN37" t="e">
        <f>IF(#REF!,"AAAAAEf963U=",0)</f>
        <v>#REF!</v>
      </c>
      <c r="DO37" t="e">
        <f>AND(#REF!,"AAAAAEf963Y=")</f>
        <v>#REF!</v>
      </c>
      <c r="DP37" t="e">
        <f>AND(#REF!,"AAAAAEf963c=")</f>
        <v>#REF!</v>
      </c>
      <c r="DQ37" t="e">
        <f>AND(#REF!,"AAAAAEf963g=")</f>
        <v>#REF!</v>
      </c>
      <c r="DR37" t="e">
        <f>IF(#REF!,"AAAAAEf963k=",0)</f>
        <v>#REF!</v>
      </c>
      <c r="DS37" t="e">
        <f>AND(#REF!,"AAAAAEf963o=")</f>
        <v>#REF!</v>
      </c>
      <c r="DT37" t="e">
        <f>AND(#REF!,"AAAAAEf963s=")</f>
        <v>#REF!</v>
      </c>
      <c r="DU37" t="e">
        <f>AND(#REF!,"AAAAAEf963w=")</f>
        <v>#REF!</v>
      </c>
      <c r="DV37" t="e">
        <f>IF(#REF!,"AAAAAEf9630=",0)</f>
        <v>#REF!</v>
      </c>
      <c r="DW37" t="e">
        <f>AND(#REF!,"AAAAAEf9634=")</f>
        <v>#REF!</v>
      </c>
      <c r="DX37" t="e">
        <f>AND(#REF!,"AAAAAEf9638=")</f>
        <v>#REF!</v>
      </c>
      <c r="DY37" t="e">
        <f>AND(#REF!,"AAAAAEf964A=")</f>
        <v>#REF!</v>
      </c>
      <c r="DZ37" t="e">
        <f>IF(#REF!,"AAAAAEf964E=",0)</f>
        <v>#REF!</v>
      </c>
      <c r="EA37" t="e">
        <f>AND(#REF!,"AAAAAEf964I=")</f>
        <v>#REF!</v>
      </c>
      <c r="EB37" t="e">
        <f>AND(#REF!,"AAAAAEf964M=")</f>
        <v>#REF!</v>
      </c>
      <c r="EC37" t="e">
        <f>AND(#REF!,"AAAAAEf964Q=")</f>
        <v>#REF!</v>
      </c>
      <c r="ED37" t="e">
        <f>IF(#REF!,"AAAAAEf964U=",0)</f>
        <v>#REF!</v>
      </c>
      <c r="EE37" t="e">
        <f>AND(#REF!,"AAAAAEf964Y=")</f>
        <v>#REF!</v>
      </c>
      <c r="EF37" t="e">
        <f>AND(#REF!,"AAAAAEf964c=")</f>
        <v>#REF!</v>
      </c>
      <c r="EG37" t="e">
        <f>AND(#REF!,"AAAAAEf964g=")</f>
        <v>#REF!</v>
      </c>
      <c r="EH37" t="e">
        <f>IF(#REF!,"AAAAAEf964k=",0)</f>
        <v>#REF!</v>
      </c>
      <c r="EI37" t="e">
        <f>AND(#REF!,"AAAAAEf964o=")</f>
        <v>#REF!</v>
      </c>
      <c r="EJ37" t="e">
        <f>AND(#REF!,"AAAAAEf964s=")</f>
        <v>#REF!</v>
      </c>
      <c r="EK37" t="e">
        <f>AND(#REF!,"AAAAAEf964w=")</f>
        <v>#REF!</v>
      </c>
      <c r="EL37" t="e">
        <f>IF(#REF!,"AAAAAEf9640=",0)</f>
        <v>#REF!</v>
      </c>
      <c r="EM37" t="e">
        <f>AND(#REF!,"AAAAAEf9644=")</f>
        <v>#REF!</v>
      </c>
      <c r="EN37" t="e">
        <f>AND(#REF!,"AAAAAEf9648=")</f>
        <v>#REF!</v>
      </c>
      <c r="EO37" t="e">
        <f>AND(#REF!,"AAAAAEf965A=")</f>
        <v>#REF!</v>
      </c>
      <c r="EP37" t="e">
        <f>IF(#REF!,"AAAAAEf965E=",0)</f>
        <v>#REF!</v>
      </c>
      <c r="EQ37" t="e">
        <f>AND(#REF!,"AAAAAEf965I=")</f>
        <v>#REF!</v>
      </c>
      <c r="ER37" t="e">
        <f>AND(#REF!,"AAAAAEf965M=")</f>
        <v>#REF!</v>
      </c>
      <c r="ES37" t="e">
        <f>AND(#REF!,"AAAAAEf965Q=")</f>
        <v>#REF!</v>
      </c>
      <c r="ET37" t="e">
        <f>IF(#REF!,"AAAAAEf965U=",0)</f>
        <v>#REF!</v>
      </c>
      <c r="EU37" t="e">
        <f>AND(#REF!,"AAAAAEf965Y=")</f>
        <v>#REF!</v>
      </c>
      <c r="EV37" t="e">
        <f>AND(#REF!,"AAAAAEf965c=")</f>
        <v>#REF!</v>
      </c>
      <c r="EW37" t="e">
        <f>AND(#REF!,"AAAAAEf965g=")</f>
        <v>#REF!</v>
      </c>
      <c r="EX37" t="e">
        <f>IF(#REF!,"AAAAAEf965k=",0)</f>
        <v>#REF!</v>
      </c>
      <c r="EY37" t="e">
        <f>AND(#REF!,"AAAAAEf965o=")</f>
        <v>#REF!</v>
      </c>
      <c r="EZ37" t="e">
        <f>AND(#REF!,"AAAAAEf965s=")</f>
        <v>#REF!</v>
      </c>
      <c r="FA37" t="e">
        <f>AND(#REF!,"AAAAAEf965w=")</f>
        <v>#REF!</v>
      </c>
      <c r="FB37" t="e">
        <f>IF(#REF!,"AAAAAEf9650=",0)</f>
        <v>#REF!</v>
      </c>
      <c r="FC37" t="e">
        <f>AND(#REF!,"AAAAAEf9654=")</f>
        <v>#REF!</v>
      </c>
      <c r="FD37" t="e">
        <f>AND(#REF!,"AAAAAEf9658=")</f>
        <v>#REF!</v>
      </c>
      <c r="FE37" t="e">
        <f>AND(#REF!,"AAAAAEf966A=")</f>
        <v>#REF!</v>
      </c>
      <c r="FF37" t="e">
        <f>IF(#REF!,"AAAAAEf966E=",0)</f>
        <v>#REF!</v>
      </c>
      <c r="FG37" t="e">
        <f>AND(#REF!,"AAAAAEf966I=")</f>
        <v>#REF!</v>
      </c>
      <c r="FH37" t="e">
        <f>AND(#REF!,"AAAAAEf966M=")</f>
        <v>#REF!</v>
      </c>
      <c r="FI37" t="e">
        <f>AND(#REF!,"AAAAAEf966Q=")</f>
        <v>#REF!</v>
      </c>
      <c r="FJ37" t="e">
        <f>IF(#REF!,"AAAAAEf966U=",0)</f>
        <v>#REF!</v>
      </c>
      <c r="FK37" t="e">
        <f>AND(#REF!,"AAAAAEf966Y=")</f>
        <v>#REF!</v>
      </c>
      <c r="FL37" t="e">
        <f>AND(#REF!,"AAAAAEf966c=")</f>
        <v>#REF!</v>
      </c>
      <c r="FM37" t="e">
        <f>AND(#REF!,"AAAAAEf966g=")</f>
        <v>#REF!</v>
      </c>
      <c r="FN37" t="e">
        <f>IF(#REF!,"AAAAAEf966k=",0)</f>
        <v>#REF!</v>
      </c>
      <c r="FO37" t="e">
        <f>AND(#REF!,"AAAAAEf966o=")</f>
        <v>#REF!</v>
      </c>
      <c r="FP37" t="e">
        <f>AND(#REF!,"AAAAAEf966s=")</f>
        <v>#REF!</v>
      </c>
      <c r="FQ37" t="e">
        <f>AND(#REF!,"AAAAAEf966w=")</f>
        <v>#REF!</v>
      </c>
      <c r="FR37" t="e">
        <f>IF(#REF!,"AAAAAEf9660=",0)</f>
        <v>#REF!</v>
      </c>
      <c r="FS37" t="e">
        <f>AND(#REF!,"AAAAAEf9664=")</f>
        <v>#REF!</v>
      </c>
      <c r="FT37" t="e">
        <f>AND(#REF!,"AAAAAEf9668=")</f>
        <v>#REF!</v>
      </c>
      <c r="FU37" t="e">
        <f>AND(#REF!,"AAAAAEf967A=")</f>
        <v>#REF!</v>
      </c>
      <c r="FV37" t="e">
        <f>IF(#REF!,"AAAAAEf967E=",0)</f>
        <v>#REF!</v>
      </c>
      <c r="FW37" t="e">
        <f>AND(#REF!,"AAAAAEf967I=")</f>
        <v>#REF!</v>
      </c>
      <c r="FX37" t="e">
        <f>AND(#REF!,"AAAAAEf967M=")</f>
        <v>#REF!</v>
      </c>
      <c r="FY37" t="e">
        <f>AND(#REF!,"AAAAAEf967Q=")</f>
        <v>#REF!</v>
      </c>
      <c r="FZ37" t="e">
        <f>IF(#REF!,"AAAAAEf967U=",0)</f>
        <v>#REF!</v>
      </c>
      <c r="GA37" t="e">
        <f>AND(#REF!,"AAAAAEf967Y=")</f>
        <v>#REF!</v>
      </c>
      <c r="GB37" t="e">
        <f>AND(#REF!,"AAAAAEf967c=")</f>
        <v>#REF!</v>
      </c>
      <c r="GC37" t="e">
        <f>AND(#REF!,"AAAAAEf967g=")</f>
        <v>#REF!</v>
      </c>
      <c r="GD37" t="e">
        <f>IF(#REF!,"AAAAAEf967k=",0)</f>
        <v>#REF!</v>
      </c>
      <c r="GE37" t="e">
        <f>AND(#REF!,"AAAAAEf967o=")</f>
        <v>#REF!</v>
      </c>
      <c r="GF37" t="e">
        <f>AND(#REF!,"AAAAAEf967s=")</f>
        <v>#REF!</v>
      </c>
      <c r="GG37" t="e">
        <f>AND(#REF!,"AAAAAEf967w=")</f>
        <v>#REF!</v>
      </c>
      <c r="GH37" t="e">
        <f>IF(#REF!,"AAAAAEf9670=",0)</f>
        <v>#REF!</v>
      </c>
      <c r="GI37" t="e">
        <f>AND(#REF!,"AAAAAEf9674=")</f>
        <v>#REF!</v>
      </c>
      <c r="GJ37" t="e">
        <f>AND(#REF!,"AAAAAEf9678=")</f>
        <v>#REF!</v>
      </c>
      <c r="GK37" t="e">
        <f>AND(#REF!,"AAAAAEf968A=")</f>
        <v>#REF!</v>
      </c>
      <c r="GL37" t="e">
        <f>IF(#REF!,"AAAAAEf968E=",0)</f>
        <v>#REF!</v>
      </c>
      <c r="GM37" t="e">
        <f>AND(#REF!,"AAAAAEf968I=")</f>
        <v>#REF!</v>
      </c>
      <c r="GN37" t="e">
        <f>AND(#REF!,"AAAAAEf968M=")</f>
        <v>#REF!</v>
      </c>
      <c r="GO37" t="e">
        <f>AND(#REF!,"AAAAAEf968Q=")</f>
        <v>#REF!</v>
      </c>
      <c r="GP37" t="e">
        <f>IF(#REF!,"AAAAAEf968U=",0)</f>
        <v>#REF!</v>
      </c>
      <c r="GQ37" t="e">
        <f>AND(#REF!,"AAAAAEf968Y=")</f>
        <v>#REF!</v>
      </c>
      <c r="GR37" t="e">
        <f>AND(#REF!,"AAAAAEf968c=")</f>
        <v>#REF!</v>
      </c>
      <c r="GS37" t="e">
        <f>AND(#REF!,"AAAAAEf968g=")</f>
        <v>#REF!</v>
      </c>
      <c r="GT37" t="e">
        <f>IF(#REF!,"AAAAAEf968k=",0)</f>
        <v>#REF!</v>
      </c>
      <c r="GU37" t="e">
        <f>AND(#REF!,"AAAAAEf968o=")</f>
        <v>#REF!</v>
      </c>
      <c r="GV37" t="e">
        <f>AND(#REF!,"AAAAAEf968s=")</f>
        <v>#REF!</v>
      </c>
      <c r="GW37" t="e">
        <f>AND(#REF!,"AAAAAEf968w=")</f>
        <v>#REF!</v>
      </c>
      <c r="GX37" t="e">
        <f>IF(#REF!,"AAAAAEf9680=",0)</f>
        <v>#REF!</v>
      </c>
      <c r="GY37" t="e">
        <f>AND(#REF!,"AAAAAEf9684=")</f>
        <v>#REF!</v>
      </c>
      <c r="GZ37" t="e">
        <f>AND(#REF!,"AAAAAEf9688=")</f>
        <v>#REF!</v>
      </c>
      <c r="HA37" t="e">
        <f>AND(#REF!,"AAAAAEf969A=")</f>
        <v>#REF!</v>
      </c>
      <c r="HB37" t="e">
        <f>IF(#REF!,"AAAAAEf969E=",0)</f>
        <v>#REF!</v>
      </c>
      <c r="HC37" t="e">
        <f>AND(#REF!,"AAAAAEf969I=")</f>
        <v>#REF!</v>
      </c>
      <c r="HD37" t="e">
        <f>AND(#REF!,"AAAAAEf969M=")</f>
        <v>#REF!</v>
      </c>
      <c r="HE37" t="e">
        <f>AND(#REF!,"AAAAAEf969Q=")</f>
        <v>#REF!</v>
      </c>
      <c r="HF37" t="e">
        <f>IF(#REF!,"AAAAAEf969U=",0)</f>
        <v>#REF!</v>
      </c>
      <c r="HG37" t="e">
        <f>AND(#REF!,"AAAAAEf969Y=")</f>
        <v>#REF!</v>
      </c>
      <c r="HH37" t="e">
        <f>AND(#REF!,"AAAAAEf969c=")</f>
        <v>#REF!</v>
      </c>
      <c r="HI37" t="e">
        <f>AND(#REF!,"AAAAAEf969g=")</f>
        <v>#REF!</v>
      </c>
      <c r="HJ37" t="e">
        <f>IF(#REF!,"AAAAAEf969k=",0)</f>
        <v>#REF!</v>
      </c>
      <c r="HK37" t="e">
        <f>AND(#REF!,"AAAAAEf969o=")</f>
        <v>#REF!</v>
      </c>
      <c r="HL37" t="e">
        <f>AND(#REF!,"AAAAAEf969s=")</f>
        <v>#REF!</v>
      </c>
      <c r="HM37" t="e">
        <f>AND(#REF!,"AAAAAEf969w=")</f>
        <v>#REF!</v>
      </c>
      <c r="HN37" t="e">
        <f>IF(#REF!,"AAAAAEf9690=",0)</f>
        <v>#REF!</v>
      </c>
      <c r="HO37" t="e">
        <f>AND(#REF!,"AAAAAEf9694=")</f>
        <v>#REF!</v>
      </c>
      <c r="HP37" t="e">
        <f>AND(#REF!,"AAAAAEf9698=")</f>
        <v>#REF!</v>
      </c>
      <c r="HQ37" t="e">
        <f>AND(#REF!,"AAAAAEf96+A=")</f>
        <v>#REF!</v>
      </c>
      <c r="HR37" t="e">
        <f>IF(#REF!,"AAAAAEf96+E=",0)</f>
        <v>#REF!</v>
      </c>
      <c r="HS37" t="e">
        <f>AND(#REF!,"AAAAAEf96+I=")</f>
        <v>#REF!</v>
      </c>
      <c r="HT37" t="e">
        <f>AND(#REF!,"AAAAAEf96+M=")</f>
        <v>#REF!</v>
      </c>
      <c r="HU37" t="e">
        <f>AND(#REF!,"AAAAAEf96+Q=")</f>
        <v>#REF!</v>
      </c>
      <c r="HV37" t="e">
        <f>IF(#REF!,"AAAAAEf96+U=",0)</f>
        <v>#REF!</v>
      </c>
      <c r="HW37" t="e">
        <f>AND(#REF!,"AAAAAEf96+Y=")</f>
        <v>#REF!</v>
      </c>
      <c r="HX37" t="e">
        <f>AND(#REF!,"AAAAAEf96+c=")</f>
        <v>#REF!</v>
      </c>
      <c r="HY37" t="e">
        <f>AND(#REF!,"AAAAAEf96+g=")</f>
        <v>#REF!</v>
      </c>
      <c r="HZ37" t="e">
        <f>IF(#REF!,"AAAAAEf96+k=",0)</f>
        <v>#REF!</v>
      </c>
      <c r="IA37" t="e">
        <f>AND(#REF!,"AAAAAEf96+o=")</f>
        <v>#REF!</v>
      </c>
      <c r="IB37" t="e">
        <f>AND(#REF!,"AAAAAEf96+s=")</f>
        <v>#REF!</v>
      </c>
      <c r="IC37" t="e">
        <f>AND(#REF!,"AAAAAEf96+w=")</f>
        <v>#REF!</v>
      </c>
      <c r="ID37" t="e">
        <f>IF(#REF!,"AAAAAEf96+0=",0)</f>
        <v>#REF!</v>
      </c>
      <c r="IE37" t="e">
        <f>AND(#REF!,"AAAAAEf96+4=")</f>
        <v>#REF!</v>
      </c>
      <c r="IF37" t="e">
        <f>AND(#REF!,"AAAAAEf96+8=")</f>
        <v>#REF!</v>
      </c>
      <c r="IG37" t="e">
        <f>AND(#REF!,"AAAAAEf96/A=")</f>
        <v>#REF!</v>
      </c>
      <c r="IH37" t="e">
        <f>IF(#REF!,"AAAAAEf96/E=",0)</f>
        <v>#REF!</v>
      </c>
      <c r="II37" t="e">
        <f>AND(#REF!,"AAAAAEf96/I=")</f>
        <v>#REF!</v>
      </c>
      <c r="IJ37" t="e">
        <f>AND(#REF!,"AAAAAEf96/M=")</f>
        <v>#REF!</v>
      </c>
      <c r="IK37" t="e">
        <f>AND(#REF!,"AAAAAEf96/Q=")</f>
        <v>#REF!</v>
      </c>
      <c r="IL37" t="e">
        <f>IF(#REF!,"AAAAAEf96/U=",0)</f>
        <v>#REF!</v>
      </c>
      <c r="IM37" t="e">
        <f>AND(#REF!,"AAAAAEf96/Y=")</f>
        <v>#REF!</v>
      </c>
      <c r="IN37" t="e">
        <f>AND(#REF!,"AAAAAEf96/c=")</f>
        <v>#REF!</v>
      </c>
      <c r="IO37" t="e">
        <f>AND(#REF!,"AAAAAEf96/g=")</f>
        <v>#REF!</v>
      </c>
      <c r="IP37" t="e">
        <f>IF(#REF!,"AAAAAEf96/k=",0)</f>
        <v>#REF!</v>
      </c>
      <c r="IQ37" t="e">
        <f>AND(#REF!,"AAAAAEf96/o=")</f>
        <v>#REF!</v>
      </c>
      <c r="IR37" t="e">
        <f>AND(#REF!,"AAAAAEf96/s=")</f>
        <v>#REF!</v>
      </c>
      <c r="IS37" t="e">
        <f>AND(#REF!,"AAAAAEf96/w=")</f>
        <v>#REF!</v>
      </c>
      <c r="IT37" t="e">
        <f>IF(#REF!,"AAAAAEf96/0=",0)</f>
        <v>#REF!</v>
      </c>
      <c r="IU37" t="e">
        <f>AND(#REF!,"AAAAAEf96/4=")</f>
        <v>#REF!</v>
      </c>
      <c r="IV37" t="e">
        <f>AND(#REF!,"AAAAAEf96/8=")</f>
        <v>#REF!</v>
      </c>
    </row>
    <row r="38" spans="1:256">
      <c r="A38" t="e">
        <f>AND(#REF!,"AAAAADe93wA=")</f>
        <v>#REF!</v>
      </c>
      <c r="B38" t="e">
        <f>IF(#REF!,"AAAAADe93wE=",0)</f>
        <v>#REF!</v>
      </c>
      <c r="C38" t="e">
        <f>AND(#REF!,"AAAAADe93wI=")</f>
        <v>#REF!</v>
      </c>
      <c r="D38" t="e">
        <f>AND(#REF!,"AAAAADe93wM=")</f>
        <v>#REF!</v>
      </c>
      <c r="E38" t="e">
        <f>AND(#REF!,"AAAAADe93wQ=")</f>
        <v>#REF!</v>
      </c>
      <c r="F38" t="e">
        <f>IF(#REF!,"AAAAADe93wU=",0)</f>
        <v>#REF!</v>
      </c>
      <c r="G38" t="e">
        <f>AND(#REF!,"AAAAADe93wY=")</f>
        <v>#REF!</v>
      </c>
      <c r="H38" t="e">
        <f>AND(#REF!,"AAAAADe93wc=")</f>
        <v>#REF!</v>
      </c>
      <c r="I38" t="e">
        <f>AND(#REF!,"AAAAADe93wg=")</f>
        <v>#REF!</v>
      </c>
      <c r="J38" t="e">
        <f>IF(#REF!,"AAAAADe93wk=",0)</f>
        <v>#REF!</v>
      </c>
      <c r="K38" t="e">
        <f>AND(#REF!,"AAAAADe93wo=")</f>
        <v>#REF!</v>
      </c>
      <c r="L38" t="e">
        <f>AND(#REF!,"AAAAADe93ws=")</f>
        <v>#REF!</v>
      </c>
      <c r="M38" t="e">
        <f>AND(#REF!,"AAAAADe93ww=")</f>
        <v>#REF!</v>
      </c>
      <c r="N38" t="e">
        <f>IF(#REF!,"AAAAADe93w0=",0)</f>
        <v>#REF!</v>
      </c>
      <c r="O38" t="e">
        <f>AND(#REF!,"AAAAADe93w4=")</f>
        <v>#REF!</v>
      </c>
      <c r="P38" t="e">
        <f>AND(#REF!,"AAAAADe93w8=")</f>
        <v>#REF!</v>
      </c>
      <c r="Q38" t="e">
        <f>AND(#REF!,"AAAAADe93xA=")</f>
        <v>#REF!</v>
      </c>
      <c r="R38" t="e">
        <f>IF(#REF!,"AAAAADe93xE=",0)</f>
        <v>#REF!</v>
      </c>
      <c r="S38" t="e">
        <f>AND(#REF!,"AAAAADe93xI=")</f>
        <v>#REF!</v>
      </c>
      <c r="T38" t="e">
        <f>AND(#REF!,"AAAAADe93xM=")</f>
        <v>#REF!</v>
      </c>
      <c r="U38" t="e">
        <f>AND(#REF!,"AAAAADe93xQ=")</f>
        <v>#REF!</v>
      </c>
      <c r="V38" t="e">
        <f>IF(#REF!,"AAAAADe93xU=",0)</f>
        <v>#REF!</v>
      </c>
      <c r="W38" t="e">
        <f>AND(#REF!,"AAAAADe93xY=")</f>
        <v>#REF!</v>
      </c>
      <c r="X38" t="e">
        <f>AND(#REF!,"AAAAADe93xc=")</f>
        <v>#REF!</v>
      </c>
      <c r="Y38" t="e">
        <f>AND(#REF!,"AAAAADe93xg=")</f>
        <v>#REF!</v>
      </c>
      <c r="Z38" t="e">
        <f>IF(#REF!,"AAAAADe93xk=",0)</f>
        <v>#REF!</v>
      </c>
      <c r="AA38" t="e">
        <f>AND(#REF!,"AAAAADe93xo=")</f>
        <v>#REF!</v>
      </c>
      <c r="AB38" t="e">
        <f>AND(#REF!,"AAAAADe93xs=")</f>
        <v>#REF!</v>
      </c>
      <c r="AC38" t="e">
        <f>AND(#REF!,"AAAAADe93xw=")</f>
        <v>#REF!</v>
      </c>
      <c r="AD38" t="e">
        <f>IF(#REF!,"AAAAADe93x0=",0)</f>
        <v>#REF!</v>
      </c>
      <c r="AE38" t="e">
        <f>AND(#REF!,"AAAAADe93x4=")</f>
        <v>#REF!</v>
      </c>
      <c r="AF38" t="e">
        <f>AND(#REF!,"AAAAADe93x8=")</f>
        <v>#REF!</v>
      </c>
      <c r="AG38" t="e">
        <f>AND(#REF!,"AAAAADe93yA=")</f>
        <v>#REF!</v>
      </c>
      <c r="AH38" t="e">
        <f>IF(#REF!,"AAAAADe93yE=",0)</f>
        <v>#REF!</v>
      </c>
      <c r="AI38" t="e">
        <f>AND(#REF!,"AAAAADe93yI=")</f>
        <v>#REF!</v>
      </c>
      <c r="AJ38" t="e">
        <f>AND(#REF!,"AAAAADe93yM=")</f>
        <v>#REF!</v>
      </c>
      <c r="AK38" t="e">
        <f>AND(#REF!,"AAAAADe93yQ=")</f>
        <v>#REF!</v>
      </c>
      <c r="AL38" t="e">
        <f>IF(#REF!,"AAAAADe93yU=",0)</f>
        <v>#REF!</v>
      </c>
      <c r="AM38" t="e">
        <f>AND(#REF!,"AAAAADe93yY=")</f>
        <v>#REF!</v>
      </c>
      <c r="AN38" t="e">
        <f>AND(#REF!,"AAAAADe93yc=")</f>
        <v>#REF!</v>
      </c>
      <c r="AO38" t="e">
        <f>AND(#REF!,"AAAAADe93yg=")</f>
        <v>#REF!</v>
      </c>
      <c r="AP38" t="e">
        <f>IF(#REF!,"AAAAADe93yk=",0)</f>
        <v>#REF!</v>
      </c>
      <c r="AQ38" t="e">
        <f>AND(#REF!,"AAAAADe93yo=")</f>
        <v>#REF!</v>
      </c>
      <c r="AR38" t="e">
        <f>AND(#REF!,"AAAAADe93ys=")</f>
        <v>#REF!</v>
      </c>
      <c r="AS38" t="e">
        <f>AND(#REF!,"AAAAADe93yw=")</f>
        <v>#REF!</v>
      </c>
      <c r="AT38" t="e">
        <f>IF(#REF!,"AAAAADe93y0=",0)</f>
        <v>#REF!</v>
      </c>
      <c r="AU38" t="e">
        <f>AND(#REF!,"AAAAADe93y4=")</f>
        <v>#REF!</v>
      </c>
      <c r="AV38" t="e">
        <f>AND(#REF!,"AAAAADe93y8=")</f>
        <v>#REF!</v>
      </c>
      <c r="AW38" t="e">
        <f>AND(#REF!,"AAAAADe93zA=")</f>
        <v>#REF!</v>
      </c>
      <c r="AX38" t="e">
        <f>IF(#REF!,"AAAAADe93zE=",0)</f>
        <v>#REF!</v>
      </c>
      <c r="AY38" t="e">
        <f>IF(#REF!,"AAAAADe93zI=",0)</f>
        <v>#REF!</v>
      </c>
      <c r="AZ38" t="e">
        <f>IF(#REF!,"AAAAADe93zM=",0)</f>
        <v>#REF!</v>
      </c>
      <c r="BA38" t="e">
        <f>IF(#REF!,"AAAAADe93zQ=",0)</f>
        <v>#REF!</v>
      </c>
      <c r="BB38" t="e">
        <f>IF(#REF!,"AAAAADe93zU=",0)</f>
        <v>#REF!</v>
      </c>
      <c r="BC38" t="e">
        <f>IF(#REF!,"AAAAADe93zY=",0)</f>
        <v>#REF!</v>
      </c>
      <c r="BD38" t="e">
        <f>IF(#REF!,"AAAAADe93zc=",0)</f>
        <v>#REF!</v>
      </c>
      <c r="BE38" t="e">
        <f>IF(#REF!,"AAAAADe93zg=",0)</f>
        <v>#REF!</v>
      </c>
      <c r="BF38" t="e">
        <f>IF(#REF!,"AAAAADe93zk=",0)</f>
        <v>#REF!</v>
      </c>
      <c r="BG38" t="e">
        <f>IF(#REF!,"AAAAADe93zo=",0)</f>
        <v>#REF!</v>
      </c>
      <c r="BH38" t="e">
        <f>IF(#REF!,"AAAAADe93zs=",0)</f>
        <v>#REF!</v>
      </c>
      <c r="BI38" t="e">
        <f>IF(#REF!,"AAAAADe93zw=",0)</f>
        <v>#REF!</v>
      </c>
      <c r="BJ38" t="e">
        <f>IF(#REF!,"AAAAADe93z0=",0)</f>
        <v>#REF!</v>
      </c>
      <c r="BK38" t="e">
        <f>AND(#REF!,"AAAAADe93z4=")</f>
        <v>#REF!</v>
      </c>
      <c r="BL38" t="e">
        <f>AND(#REF!,"AAAAADe93z8=")</f>
        <v>#REF!</v>
      </c>
      <c r="BM38" t="e">
        <f>AND(#REF!,"AAAAADe930A=")</f>
        <v>#REF!</v>
      </c>
      <c r="BN38" t="e">
        <f>AND(#REF!,"AAAAADe930E=")</f>
        <v>#REF!</v>
      </c>
      <c r="BO38" t="e">
        <f>AND(#REF!,"AAAAADe930I=")</f>
        <v>#REF!</v>
      </c>
      <c r="BP38" t="e">
        <f>AND(#REF!,"AAAAADe930M=")</f>
        <v>#REF!</v>
      </c>
      <c r="BQ38" t="e">
        <f>AND(#REF!,"AAAAADe930Q=")</f>
        <v>#REF!</v>
      </c>
      <c r="BR38" t="e">
        <f>AND(#REF!,"AAAAADe930U=")</f>
        <v>#REF!</v>
      </c>
      <c r="BS38" t="e">
        <f>AND(#REF!,"AAAAADe930Y=")</f>
        <v>#REF!</v>
      </c>
      <c r="BT38" t="e">
        <f>AND(#REF!,"AAAAADe930c=")</f>
        <v>#REF!</v>
      </c>
      <c r="BU38" t="e">
        <f>AND(#REF!,"AAAAADe930g=")</f>
        <v>#REF!</v>
      </c>
      <c r="BV38" t="e">
        <f>AND(#REF!,"AAAAADe930k=")</f>
        <v>#REF!</v>
      </c>
      <c r="BW38" t="e">
        <f>IF(#REF!,"AAAAADe930o=",0)</f>
        <v>#REF!</v>
      </c>
      <c r="BX38" t="e">
        <f>AND(#REF!,"AAAAADe930s=")</f>
        <v>#REF!</v>
      </c>
      <c r="BY38" t="e">
        <f>AND(#REF!,"AAAAADe930w=")</f>
        <v>#REF!</v>
      </c>
      <c r="BZ38" t="e">
        <f>AND(#REF!,"AAAAADe9300=")</f>
        <v>#REF!</v>
      </c>
      <c r="CA38" t="e">
        <f>AND(#REF!,"AAAAADe9304=")</f>
        <v>#REF!</v>
      </c>
      <c r="CB38" t="e">
        <f>AND(#REF!,"AAAAADe9308=")</f>
        <v>#REF!</v>
      </c>
      <c r="CC38" t="e">
        <f>AND(#REF!,"AAAAADe931A=")</f>
        <v>#REF!</v>
      </c>
      <c r="CD38" t="e">
        <f>AND(#REF!,"AAAAADe931E=")</f>
        <v>#REF!</v>
      </c>
      <c r="CE38" t="e">
        <f>AND(#REF!,"AAAAADe931I=")</f>
        <v>#REF!</v>
      </c>
      <c r="CF38" t="e">
        <f>AND(#REF!,"AAAAADe931M=")</f>
        <v>#REF!</v>
      </c>
      <c r="CG38" t="e">
        <f>AND(#REF!,"AAAAADe931Q=")</f>
        <v>#REF!</v>
      </c>
      <c r="CH38" t="e">
        <f>AND(#REF!,"AAAAADe931U=")</f>
        <v>#REF!</v>
      </c>
      <c r="CI38" t="e">
        <f>AND(#REF!,"AAAAADe931Y=")</f>
        <v>#REF!</v>
      </c>
      <c r="CJ38" t="e">
        <f>IF(#REF!,"AAAAADe931c=",0)</f>
        <v>#REF!</v>
      </c>
      <c r="CK38" t="e">
        <f>AND(#REF!,"AAAAADe931g=")</f>
        <v>#REF!</v>
      </c>
      <c r="CL38" t="e">
        <f>AND(#REF!,"AAAAADe931k=")</f>
        <v>#REF!</v>
      </c>
      <c r="CM38" t="e">
        <f>AND(#REF!,"AAAAADe931o=")</f>
        <v>#REF!</v>
      </c>
      <c r="CN38" t="e">
        <f>AND(#REF!,"AAAAADe931s=")</f>
        <v>#REF!</v>
      </c>
      <c r="CO38" t="e">
        <f>AND(#REF!,"AAAAADe931w=")</f>
        <v>#REF!</v>
      </c>
      <c r="CP38" t="e">
        <f>AND(#REF!,"AAAAADe9310=")</f>
        <v>#REF!</v>
      </c>
      <c r="CQ38" t="e">
        <f>AND(#REF!,"AAAAADe9314=")</f>
        <v>#REF!</v>
      </c>
      <c r="CR38" t="e">
        <f>AND(#REF!,"AAAAADe9318=")</f>
        <v>#REF!</v>
      </c>
      <c r="CS38" t="e">
        <f>AND(#REF!,"AAAAADe932A=")</f>
        <v>#REF!</v>
      </c>
      <c r="CT38" t="e">
        <f>AND(#REF!,"AAAAADe932E=")</f>
        <v>#REF!</v>
      </c>
      <c r="CU38" t="e">
        <f>AND(#REF!,"AAAAADe932I=")</f>
        <v>#REF!</v>
      </c>
      <c r="CV38" t="e">
        <f>AND(#REF!,"AAAAADe932M=")</f>
        <v>#REF!</v>
      </c>
      <c r="CW38" t="e">
        <f>IF(#REF!,"AAAAADe932Q=",0)</f>
        <v>#REF!</v>
      </c>
      <c r="CX38" t="e">
        <f>AND(#REF!,"AAAAADe932U=")</f>
        <v>#REF!</v>
      </c>
      <c r="CY38" t="e">
        <f>AND(#REF!,"AAAAADe932Y=")</f>
        <v>#REF!</v>
      </c>
      <c r="CZ38" t="e">
        <f>AND(#REF!,"AAAAADe932c=")</f>
        <v>#REF!</v>
      </c>
      <c r="DA38" t="e">
        <f>AND(#REF!,"AAAAADe932g=")</f>
        <v>#REF!</v>
      </c>
      <c r="DB38" t="e">
        <f>AND(#REF!,"AAAAADe932k=")</f>
        <v>#REF!</v>
      </c>
      <c r="DC38" t="e">
        <f>AND(#REF!,"AAAAADe932o=")</f>
        <v>#REF!</v>
      </c>
      <c r="DD38" t="e">
        <f>AND(#REF!,"AAAAADe932s=")</f>
        <v>#REF!</v>
      </c>
      <c r="DE38" t="e">
        <f>AND(#REF!,"AAAAADe932w=")</f>
        <v>#REF!</v>
      </c>
      <c r="DF38" t="e">
        <f>AND(#REF!,"AAAAADe9320=")</f>
        <v>#REF!</v>
      </c>
      <c r="DG38" t="e">
        <f>AND(#REF!,"AAAAADe9324=")</f>
        <v>#REF!</v>
      </c>
      <c r="DH38" t="e">
        <f>AND(#REF!,"AAAAADe9328=")</f>
        <v>#REF!</v>
      </c>
      <c r="DI38" t="e">
        <f>AND(#REF!,"AAAAADe933A=")</f>
        <v>#REF!</v>
      </c>
      <c r="DJ38" t="e">
        <f>IF(#REF!,"AAAAADe933E=",0)</f>
        <v>#REF!</v>
      </c>
      <c r="DK38" t="e">
        <f>AND(#REF!,"AAAAADe933I=")</f>
        <v>#REF!</v>
      </c>
      <c r="DL38" t="e">
        <f>AND(#REF!,"AAAAADe933M=")</f>
        <v>#REF!</v>
      </c>
      <c r="DM38" t="e">
        <f>AND(#REF!,"AAAAADe933Q=")</f>
        <v>#REF!</v>
      </c>
      <c r="DN38" t="e">
        <f>AND(#REF!,"AAAAADe933U=")</f>
        <v>#REF!</v>
      </c>
      <c r="DO38" t="e">
        <f>AND(#REF!,"AAAAADe933Y=")</f>
        <v>#REF!</v>
      </c>
      <c r="DP38" t="e">
        <f>AND(#REF!,"AAAAADe933c=")</f>
        <v>#REF!</v>
      </c>
      <c r="DQ38" t="e">
        <f>AND(#REF!,"AAAAADe933g=")</f>
        <v>#REF!</v>
      </c>
      <c r="DR38" t="e">
        <f>AND(#REF!,"AAAAADe933k=")</f>
        <v>#REF!</v>
      </c>
      <c r="DS38" t="e">
        <f>AND(#REF!,"AAAAADe933o=")</f>
        <v>#REF!</v>
      </c>
      <c r="DT38" t="e">
        <f>AND(#REF!,"AAAAADe933s=")</f>
        <v>#REF!</v>
      </c>
      <c r="DU38" t="e">
        <f>AND(#REF!,"AAAAADe933w=")</f>
        <v>#REF!</v>
      </c>
      <c r="DV38" t="e">
        <f>AND(#REF!,"AAAAADe9330=")</f>
        <v>#REF!</v>
      </c>
      <c r="DW38" t="e">
        <f>IF(#REF!,"AAAAADe9334=",0)</f>
        <v>#REF!</v>
      </c>
      <c r="DX38" t="e">
        <f>AND(#REF!,"AAAAADe9338=")</f>
        <v>#REF!</v>
      </c>
      <c r="DY38" t="e">
        <f>AND(#REF!,"AAAAADe934A=")</f>
        <v>#REF!</v>
      </c>
      <c r="DZ38" t="e">
        <f>AND(#REF!,"AAAAADe934E=")</f>
        <v>#REF!</v>
      </c>
      <c r="EA38" t="e">
        <f>AND(#REF!,"AAAAADe934I=")</f>
        <v>#REF!</v>
      </c>
      <c r="EB38" t="e">
        <f>AND(#REF!,"AAAAADe934M=")</f>
        <v>#REF!</v>
      </c>
      <c r="EC38" t="e">
        <f>AND(#REF!,"AAAAADe934Q=")</f>
        <v>#REF!</v>
      </c>
      <c r="ED38" t="e">
        <f>AND(#REF!,"AAAAADe934U=")</f>
        <v>#REF!</v>
      </c>
      <c r="EE38" t="e">
        <f>AND(#REF!,"AAAAADe934Y=")</f>
        <v>#REF!</v>
      </c>
      <c r="EF38" t="e">
        <f>AND(#REF!,"AAAAADe934c=")</f>
        <v>#REF!</v>
      </c>
      <c r="EG38" t="e">
        <f>AND(#REF!,"AAAAADe934g=")</f>
        <v>#REF!</v>
      </c>
      <c r="EH38" t="e">
        <f>AND(#REF!,"AAAAADe934k=")</f>
        <v>#REF!</v>
      </c>
      <c r="EI38" t="e">
        <f>AND(#REF!,"AAAAADe934o=")</f>
        <v>#REF!</v>
      </c>
      <c r="EJ38" t="e">
        <f>IF(#REF!,"AAAAADe934s=",0)</f>
        <v>#REF!</v>
      </c>
      <c r="EK38" t="e">
        <f>AND(#REF!,"AAAAADe934w=")</f>
        <v>#REF!</v>
      </c>
      <c r="EL38" t="e">
        <f>AND(#REF!,"AAAAADe9340=")</f>
        <v>#REF!</v>
      </c>
      <c r="EM38" t="e">
        <f>AND(#REF!,"AAAAADe9344=")</f>
        <v>#REF!</v>
      </c>
      <c r="EN38" t="e">
        <f>AND(#REF!,"AAAAADe9348=")</f>
        <v>#REF!</v>
      </c>
      <c r="EO38" t="e">
        <f>AND(#REF!,"AAAAADe935A=")</f>
        <v>#REF!</v>
      </c>
      <c r="EP38" t="e">
        <f>AND(#REF!,"AAAAADe935E=")</f>
        <v>#REF!</v>
      </c>
      <c r="EQ38" t="e">
        <f>AND(#REF!,"AAAAADe935I=")</f>
        <v>#REF!</v>
      </c>
      <c r="ER38" t="e">
        <f>AND(#REF!,"AAAAADe935M=")</f>
        <v>#REF!</v>
      </c>
      <c r="ES38" t="e">
        <f>AND(#REF!,"AAAAADe935Q=")</f>
        <v>#REF!</v>
      </c>
      <c r="ET38" t="e">
        <f>AND(#REF!,"AAAAADe935U=")</f>
        <v>#REF!</v>
      </c>
      <c r="EU38" t="e">
        <f>AND(#REF!,"AAAAADe935Y=")</f>
        <v>#REF!</v>
      </c>
      <c r="EV38" t="e">
        <f>AND(#REF!,"AAAAADe935c=")</f>
        <v>#REF!</v>
      </c>
      <c r="EW38" t="e">
        <f>IF(#REF!,"AAAAADe935g=",0)</f>
        <v>#REF!</v>
      </c>
      <c r="EX38" t="e">
        <f>AND(#REF!,"AAAAADe935k=")</f>
        <v>#REF!</v>
      </c>
      <c r="EY38" t="e">
        <f>AND(#REF!,"AAAAADe935o=")</f>
        <v>#REF!</v>
      </c>
      <c r="EZ38" t="e">
        <f>AND(#REF!,"AAAAADe935s=")</f>
        <v>#REF!</v>
      </c>
      <c r="FA38" t="e">
        <f>AND(#REF!,"AAAAADe935w=")</f>
        <v>#REF!</v>
      </c>
      <c r="FB38" t="e">
        <f>AND(#REF!,"AAAAADe9350=")</f>
        <v>#REF!</v>
      </c>
      <c r="FC38" t="e">
        <f>AND(#REF!,"AAAAADe9354=")</f>
        <v>#REF!</v>
      </c>
      <c r="FD38" t="e">
        <f>AND(#REF!,"AAAAADe9358=")</f>
        <v>#REF!</v>
      </c>
      <c r="FE38" t="e">
        <f>AND(#REF!,"AAAAADe936A=")</f>
        <v>#REF!</v>
      </c>
      <c r="FF38" t="e">
        <f>AND(#REF!,"AAAAADe936E=")</f>
        <v>#REF!</v>
      </c>
      <c r="FG38" t="e">
        <f>AND(#REF!,"AAAAADe936I=")</f>
        <v>#REF!</v>
      </c>
      <c r="FH38" t="e">
        <f>AND(#REF!,"AAAAADe936M=")</f>
        <v>#REF!</v>
      </c>
      <c r="FI38" t="e">
        <f>AND(#REF!,"AAAAADe936Q=")</f>
        <v>#REF!</v>
      </c>
      <c r="FJ38" t="e">
        <f>IF(#REF!,"AAAAADe936U=",0)</f>
        <v>#REF!</v>
      </c>
      <c r="FK38" t="e">
        <f>AND(#REF!,"AAAAADe936Y=")</f>
        <v>#REF!</v>
      </c>
      <c r="FL38" t="e">
        <f>AND(#REF!,"AAAAADe936c=")</f>
        <v>#REF!</v>
      </c>
      <c r="FM38" t="e">
        <f>AND(#REF!,"AAAAADe936g=")</f>
        <v>#REF!</v>
      </c>
      <c r="FN38" t="e">
        <f>AND(#REF!,"AAAAADe936k=")</f>
        <v>#REF!</v>
      </c>
      <c r="FO38" t="e">
        <f>AND(#REF!,"AAAAADe936o=")</f>
        <v>#REF!</v>
      </c>
      <c r="FP38" t="e">
        <f>AND(#REF!,"AAAAADe936s=")</f>
        <v>#REF!</v>
      </c>
      <c r="FQ38" t="e">
        <f>AND(#REF!,"AAAAADe936w=")</f>
        <v>#REF!</v>
      </c>
      <c r="FR38" t="e">
        <f>AND(#REF!,"AAAAADe9360=")</f>
        <v>#REF!</v>
      </c>
      <c r="FS38" t="e">
        <f>AND(#REF!,"AAAAADe9364=")</f>
        <v>#REF!</v>
      </c>
      <c r="FT38" t="e">
        <f>AND(#REF!,"AAAAADe9368=")</f>
        <v>#REF!</v>
      </c>
      <c r="FU38" t="e">
        <f>AND(#REF!,"AAAAADe937A=")</f>
        <v>#REF!</v>
      </c>
      <c r="FV38" t="e">
        <f>AND(#REF!,"AAAAADe937E=")</f>
        <v>#REF!</v>
      </c>
      <c r="FW38" t="e">
        <f>IF(#REF!,"AAAAADe937I=",0)</f>
        <v>#REF!</v>
      </c>
      <c r="FX38" t="e">
        <f>AND(#REF!,"AAAAADe937M=")</f>
        <v>#REF!</v>
      </c>
      <c r="FY38" t="e">
        <f>AND(#REF!,"AAAAADe937Q=")</f>
        <v>#REF!</v>
      </c>
      <c r="FZ38" t="e">
        <f>AND(#REF!,"AAAAADe937U=")</f>
        <v>#REF!</v>
      </c>
      <c r="GA38" t="e">
        <f>AND(#REF!,"AAAAADe937Y=")</f>
        <v>#REF!</v>
      </c>
      <c r="GB38" t="e">
        <f>AND(#REF!,"AAAAADe937c=")</f>
        <v>#REF!</v>
      </c>
      <c r="GC38" t="e">
        <f>AND(#REF!,"AAAAADe937g=")</f>
        <v>#REF!</v>
      </c>
      <c r="GD38" t="e">
        <f>AND(#REF!,"AAAAADe937k=")</f>
        <v>#REF!</v>
      </c>
      <c r="GE38" t="e">
        <f>AND(#REF!,"AAAAADe937o=")</f>
        <v>#REF!</v>
      </c>
      <c r="GF38" t="e">
        <f>AND(#REF!,"AAAAADe937s=")</f>
        <v>#REF!</v>
      </c>
      <c r="GG38" t="e">
        <f>AND(#REF!,"AAAAADe937w=")</f>
        <v>#REF!</v>
      </c>
      <c r="GH38" t="e">
        <f>AND(#REF!,"AAAAADe9370=")</f>
        <v>#REF!</v>
      </c>
      <c r="GI38" t="e">
        <f>AND(#REF!,"AAAAADe9374=")</f>
        <v>#REF!</v>
      </c>
      <c r="GJ38" t="e">
        <f>IF(#REF!,"AAAAADe9378=",0)</f>
        <v>#REF!</v>
      </c>
      <c r="GK38" t="e">
        <f>AND(#REF!,"AAAAADe938A=")</f>
        <v>#REF!</v>
      </c>
      <c r="GL38" t="e">
        <f>AND(#REF!,"AAAAADe938E=")</f>
        <v>#REF!</v>
      </c>
      <c r="GM38" t="e">
        <f>AND(#REF!,"AAAAADe938I=")</f>
        <v>#REF!</v>
      </c>
      <c r="GN38" t="e">
        <f>AND(#REF!,"AAAAADe938M=")</f>
        <v>#REF!</v>
      </c>
      <c r="GO38" t="e">
        <f>AND(#REF!,"AAAAADe938Q=")</f>
        <v>#REF!</v>
      </c>
      <c r="GP38" t="e">
        <f>AND(#REF!,"AAAAADe938U=")</f>
        <v>#REF!</v>
      </c>
      <c r="GQ38" t="e">
        <f>AND(#REF!,"AAAAADe938Y=")</f>
        <v>#REF!</v>
      </c>
      <c r="GR38" t="e">
        <f>AND(#REF!,"AAAAADe938c=")</f>
        <v>#REF!</v>
      </c>
      <c r="GS38" t="e">
        <f>AND(#REF!,"AAAAADe938g=")</f>
        <v>#REF!</v>
      </c>
      <c r="GT38" t="e">
        <f>AND(#REF!,"AAAAADe938k=")</f>
        <v>#REF!</v>
      </c>
      <c r="GU38" t="e">
        <f>AND(#REF!,"AAAAADe938o=")</f>
        <v>#REF!</v>
      </c>
      <c r="GV38" t="e">
        <f>AND(#REF!,"AAAAADe938s=")</f>
        <v>#REF!</v>
      </c>
      <c r="GW38" t="e">
        <f>IF(#REF!,"AAAAADe938w=",0)</f>
        <v>#REF!</v>
      </c>
      <c r="GX38" t="e">
        <f>AND(#REF!,"AAAAADe9380=")</f>
        <v>#REF!</v>
      </c>
      <c r="GY38" t="e">
        <f>AND(#REF!,"AAAAADe9384=")</f>
        <v>#REF!</v>
      </c>
      <c r="GZ38" t="e">
        <f>AND(#REF!,"AAAAADe9388=")</f>
        <v>#REF!</v>
      </c>
      <c r="HA38" t="e">
        <f>IF(#REF!,"AAAAADe939A=",0)</f>
        <v>#REF!</v>
      </c>
      <c r="HB38" t="e">
        <f>AND(#REF!,"AAAAADe939E=")</f>
        <v>#REF!</v>
      </c>
      <c r="HC38" t="e">
        <f>AND(#REF!,"AAAAADe939I=")</f>
        <v>#REF!</v>
      </c>
      <c r="HD38" t="e">
        <f>AND(#REF!,"AAAAADe939M=")</f>
        <v>#REF!</v>
      </c>
      <c r="HE38" t="e">
        <f>IF(#REF!,"AAAAADe939Q=",0)</f>
        <v>#REF!</v>
      </c>
      <c r="HF38" t="e">
        <f>AND(#REF!,"AAAAADe939U=")</f>
        <v>#REF!</v>
      </c>
      <c r="HG38" t="e">
        <f>AND(#REF!,"AAAAADe939Y=")</f>
        <v>#REF!</v>
      </c>
      <c r="HH38" t="e">
        <f>AND(#REF!,"AAAAADe939c=")</f>
        <v>#REF!</v>
      </c>
      <c r="HI38" t="e">
        <f>IF(#REF!,"AAAAADe939g=",0)</f>
        <v>#REF!</v>
      </c>
      <c r="HJ38" t="e">
        <f>AND(#REF!,"AAAAADe939k=")</f>
        <v>#REF!</v>
      </c>
      <c r="HK38" t="e">
        <f>AND(#REF!,"AAAAADe939o=")</f>
        <v>#REF!</v>
      </c>
      <c r="HL38" t="e">
        <f>AND(#REF!,"AAAAADe939s=")</f>
        <v>#REF!</v>
      </c>
      <c r="HM38" t="e">
        <f>IF(#REF!,"AAAAADe939w=",0)</f>
        <v>#REF!</v>
      </c>
      <c r="HN38" t="e">
        <f>AND(#REF!,"AAAAADe9390=")</f>
        <v>#REF!</v>
      </c>
      <c r="HO38" t="e">
        <f>AND(#REF!,"AAAAADe9394=")</f>
        <v>#REF!</v>
      </c>
      <c r="HP38" t="e">
        <f>AND(#REF!,"AAAAADe9398=")</f>
        <v>#REF!</v>
      </c>
      <c r="HQ38" t="e">
        <f>IF(#REF!,"AAAAADe93+A=",0)</f>
        <v>#REF!</v>
      </c>
      <c r="HR38" t="e">
        <f>AND(#REF!,"AAAAADe93+E=")</f>
        <v>#REF!</v>
      </c>
      <c r="HS38" t="e">
        <f>AND(#REF!,"AAAAADe93+I=")</f>
        <v>#REF!</v>
      </c>
      <c r="HT38" t="e">
        <f>AND(#REF!,"AAAAADe93+M=")</f>
        <v>#REF!</v>
      </c>
      <c r="HU38" t="e">
        <f>IF(#REF!,"AAAAADe93+Q=",0)</f>
        <v>#REF!</v>
      </c>
      <c r="HV38" t="e">
        <f>AND(#REF!,"AAAAADe93+U=")</f>
        <v>#REF!</v>
      </c>
      <c r="HW38" t="e">
        <f>AND(#REF!,"AAAAADe93+Y=")</f>
        <v>#REF!</v>
      </c>
      <c r="HX38" t="e">
        <f>AND(#REF!,"AAAAADe93+c=")</f>
        <v>#REF!</v>
      </c>
      <c r="HY38" t="e">
        <f>IF(#REF!,"AAAAADe93+g=",0)</f>
        <v>#REF!</v>
      </c>
      <c r="HZ38" t="e">
        <f>AND(#REF!,"AAAAADe93+k=")</f>
        <v>#REF!</v>
      </c>
      <c r="IA38" t="e">
        <f>AND(#REF!,"AAAAADe93+o=")</f>
        <v>#REF!</v>
      </c>
      <c r="IB38" t="e">
        <f>AND(#REF!,"AAAAADe93+s=")</f>
        <v>#REF!</v>
      </c>
      <c r="IC38" t="e">
        <f>IF(#REF!,"AAAAADe93+w=",0)</f>
        <v>#REF!</v>
      </c>
      <c r="ID38" t="e">
        <f>AND(#REF!,"AAAAADe93+0=")</f>
        <v>#REF!</v>
      </c>
      <c r="IE38" t="e">
        <f>AND(#REF!,"AAAAADe93+4=")</f>
        <v>#REF!</v>
      </c>
      <c r="IF38" t="e">
        <f>AND(#REF!,"AAAAADe93+8=")</f>
        <v>#REF!</v>
      </c>
      <c r="IG38" t="e">
        <f>IF(#REF!,"AAAAADe93/A=",0)</f>
        <v>#REF!</v>
      </c>
      <c r="IH38" t="e">
        <f>AND(#REF!,"AAAAADe93/E=")</f>
        <v>#REF!</v>
      </c>
      <c r="II38" t="e">
        <f>AND(#REF!,"AAAAADe93/I=")</f>
        <v>#REF!</v>
      </c>
      <c r="IJ38" t="e">
        <f>AND(#REF!,"AAAAADe93/M=")</f>
        <v>#REF!</v>
      </c>
      <c r="IK38" t="e">
        <f>IF(#REF!,"AAAAADe93/Q=",0)</f>
        <v>#REF!</v>
      </c>
      <c r="IL38" t="e">
        <f>AND(#REF!,"AAAAADe93/U=")</f>
        <v>#REF!</v>
      </c>
      <c r="IM38" t="e">
        <f>AND(#REF!,"AAAAADe93/Y=")</f>
        <v>#REF!</v>
      </c>
      <c r="IN38" t="e">
        <f>AND(#REF!,"AAAAADe93/c=")</f>
        <v>#REF!</v>
      </c>
      <c r="IO38" t="e">
        <f>IF(#REF!,"AAAAADe93/g=",0)</f>
        <v>#REF!</v>
      </c>
      <c r="IP38" t="e">
        <f>AND(#REF!,"AAAAADe93/k=")</f>
        <v>#REF!</v>
      </c>
      <c r="IQ38" t="e">
        <f>AND(#REF!,"AAAAADe93/o=")</f>
        <v>#REF!</v>
      </c>
      <c r="IR38" t="e">
        <f>AND(#REF!,"AAAAADe93/s=")</f>
        <v>#REF!</v>
      </c>
      <c r="IS38" t="e">
        <f>IF(#REF!,"AAAAADe93/w=",0)</f>
        <v>#REF!</v>
      </c>
      <c r="IT38" t="e">
        <f>AND(#REF!,"AAAAADe93/0=")</f>
        <v>#REF!</v>
      </c>
      <c r="IU38" t="e">
        <f>AND(#REF!,"AAAAADe93/4=")</f>
        <v>#REF!</v>
      </c>
      <c r="IV38" t="e">
        <f>AND(#REF!,"AAAAADe93/8=")</f>
        <v>#REF!</v>
      </c>
    </row>
    <row r="39" spans="1:256">
      <c r="A39" t="e">
        <f>IF(#REF!,"AAAAABzp5QA=",0)</f>
        <v>#REF!</v>
      </c>
      <c r="B39" t="e">
        <f>AND(#REF!,"AAAAABzp5QE=")</f>
        <v>#REF!</v>
      </c>
      <c r="C39" t="e">
        <f>AND(#REF!,"AAAAABzp5QI=")</f>
        <v>#REF!</v>
      </c>
      <c r="D39" t="e">
        <f>AND(#REF!,"AAAAABzp5QM=")</f>
        <v>#REF!</v>
      </c>
      <c r="E39" t="e">
        <f>IF(#REF!,"AAAAABzp5QQ=",0)</f>
        <v>#REF!</v>
      </c>
      <c r="F39" t="e">
        <f>AND(#REF!,"AAAAABzp5QU=")</f>
        <v>#REF!</v>
      </c>
      <c r="G39" t="e">
        <f>AND(#REF!,"AAAAABzp5QY=")</f>
        <v>#REF!</v>
      </c>
      <c r="H39" t="e">
        <f>AND(#REF!,"AAAAABzp5Qc=")</f>
        <v>#REF!</v>
      </c>
      <c r="I39" t="e">
        <f>IF(#REF!,"AAAAABzp5Qg=",0)</f>
        <v>#REF!</v>
      </c>
      <c r="J39" t="e">
        <f>AND(#REF!,"AAAAABzp5Qk=")</f>
        <v>#REF!</v>
      </c>
      <c r="K39" t="e">
        <f>AND(#REF!,"AAAAABzp5Qo=")</f>
        <v>#REF!</v>
      </c>
      <c r="L39" t="e">
        <f>AND(#REF!,"AAAAABzp5Qs=")</f>
        <v>#REF!</v>
      </c>
      <c r="M39" t="e">
        <f>IF(#REF!,"AAAAABzp5Qw=",0)</f>
        <v>#REF!</v>
      </c>
      <c r="N39" t="e">
        <f>AND(#REF!,"AAAAABzp5Q0=")</f>
        <v>#REF!</v>
      </c>
      <c r="O39" t="e">
        <f>AND(#REF!,"AAAAABzp5Q4=")</f>
        <v>#REF!</v>
      </c>
      <c r="P39" t="e">
        <f>AND(#REF!,"AAAAABzp5Q8=")</f>
        <v>#REF!</v>
      </c>
      <c r="Q39" t="e">
        <f>IF(#REF!,"AAAAABzp5RA=",0)</f>
        <v>#REF!</v>
      </c>
      <c r="R39" t="e">
        <f>AND(#REF!,"AAAAABzp5RE=")</f>
        <v>#REF!</v>
      </c>
      <c r="S39" t="e">
        <f>AND(#REF!,"AAAAABzp5RI=")</f>
        <v>#REF!</v>
      </c>
      <c r="T39" t="e">
        <f>AND(#REF!,"AAAAABzp5RM=")</f>
        <v>#REF!</v>
      </c>
      <c r="U39" t="e">
        <f>IF(#REF!,"AAAAABzp5RQ=",0)</f>
        <v>#REF!</v>
      </c>
      <c r="V39" t="e">
        <f>AND(#REF!,"AAAAABzp5RU=")</f>
        <v>#REF!</v>
      </c>
      <c r="W39" t="e">
        <f>AND(#REF!,"AAAAABzp5RY=")</f>
        <v>#REF!</v>
      </c>
      <c r="X39" t="e">
        <f>AND(#REF!,"AAAAABzp5Rc=")</f>
        <v>#REF!</v>
      </c>
      <c r="Y39" t="e">
        <f>IF(#REF!,"AAAAABzp5Rg=",0)</f>
        <v>#REF!</v>
      </c>
      <c r="Z39" t="e">
        <f>AND(#REF!,"AAAAABzp5Rk=")</f>
        <v>#REF!</v>
      </c>
      <c r="AA39" t="e">
        <f>AND(#REF!,"AAAAABzp5Ro=")</f>
        <v>#REF!</v>
      </c>
      <c r="AB39" t="e">
        <f>AND(#REF!,"AAAAABzp5Rs=")</f>
        <v>#REF!</v>
      </c>
      <c r="AC39" t="e">
        <f>IF(#REF!,"AAAAABzp5Rw=",0)</f>
        <v>#REF!</v>
      </c>
      <c r="AD39" t="e">
        <f>AND(#REF!,"AAAAABzp5R0=")</f>
        <v>#REF!</v>
      </c>
      <c r="AE39" t="e">
        <f>AND(#REF!,"AAAAABzp5R4=")</f>
        <v>#REF!</v>
      </c>
      <c r="AF39" t="e">
        <f>AND(#REF!,"AAAAABzp5R8=")</f>
        <v>#REF!</v>
      </c>
      <c r="AG39" t="e">
        <f>IF(#REF!,"AAAAABzp5SA=",0)</f>
        <v>#REF!</v>
      </c>
      <c r="AH39" t="e">
        <f>AND(#REF!,"AAAAABzp5SE=")</f>
        <v>#REF!</v>
      </c>
      <c r="AI39" t="e">
        <f>AND(#REF!,"AAAAABzp5SI=")</f>
        <v>#REF!</v>
      </c>
      <c r="AJ39" t="e">
        <f>AND(#REF!,"AAAAABzp5SM=")</f>
        <v>#REF!</v>
      </c>
      <c r="AK39" t="e">
        <f>IF(#REF!,"AAAAABzp5SQ=",0)</f>
        <v>#REF!</v>
      </c>
      <c r="AL39" t="e">
        <f>AND(#REF!,"AAAAABzp5SU=")</f>
        <v>#REF!</v>
      </c>
      <c r="AM39" t="e">
        <f>AND(#REF!,"AAAAABzp5SY=")</f>
        <v>#REF!</v>
      </c>
      <c r="AN39" t="e">
        <f>AND(#REF!,"AAAAABzp5Sc=")</f>
        <v>#REF!</v>
      </c>
      <c r="AO39" t="e">
        <f>IF(#REF!,"AAAAABzp5Sg=",0)</f>
        <v>#REF!</v>
      </c>
      <c r="AP39" t="e">
        <f>AND(#REF!,"AAAAABzp5Sk=")</f>
        <v>#REF!</v>
      </c>
      <c r="AQ39" t="e">
        <f>AND(#REF!,"AAAAABzp5So=")</f>
        <v>#REF!</v>
      </c>
      <c r="AR39" t="e">
        <f>AND(#REF!,"AAAAABzp5Ss=")</f>
        <v>#REF!</v>
      </c>
      <c r="AS39" t="e">
        <f>IF(#REF!,"AAAAABzp5Sw=",0)</f>
        <v>#REF!</v>
      </c>
      <c r="AT39" t="e">
        <f>AND(#REF!,"AAAAABzp5S0=")</f>
        <v>#REF!</v>
      </c>
      <c r="AU39" t="e">
        <f>AND(#REF!,"AAAAABzp5S4=")</f>
        <v>#REF!</v>
      </c>
      <c r="AV39" t="e">
        <f>AND(#REF!,"AAAAABzp5S8=")</f>
        <v>#REF!</v>
      </c>
      <c r="AW39" t="e">
        <f>IF(#REF!,"AAAAABzp5TA=",0)</f>
        <v>#REF!</v>
      </c>
      <c r="AX39" t="e">
        <f>AND(#REF!,"AAAAABzp5TE=")</f>
        <v>#REF!</v>
      </c>
      <c r="AY39" t="e">
        <f>AND(#REF!,"AAAAABzp5TI=")</f>
        <v>#REF!</v>
      </c>
      <c r="AZ39" t="e">
        <f>AND(#REF!,"AAAAABzp5TM=")</f>
        <v>#REF!</v>
      </c>
      <c r="BA39" t="e">
        <f>IF(#REF!,"AAAAABzp5TQ=",0)</f>
        <v>#REF!</v>
      </c>
      <c r="BB39" t="e">
        <f>AND(#REF!,"AAAAABzp5TU=")</f>
        <v>#REF!</v>
      </c>
      <c r="BC39" t="e">
        <f>AND(#REF!,"AAAAABzp5TY=")</f>
        <v>#REF!</v>
      </c>
      <c r="BD39" t="e">
        <f>AND(#REF!,"AAAAABzp5Tc=")</f>
        <v>#REF!</v>
      </c>
      <c r="BE39" t="e">
        <f>IF(#REF!,"AAAAABzp5Tg=",0)</f>
        <v>#REF!</v>
      </c>
      <c r="BF39" t="e">
        <f>AND(#REF!,"AAAAABzp5Tk=")</f>
        <v>#REF!</v>
      </c>
      <c r="BG39" t="e">
        <f>AND(#REF!,"AAAAABzp5To=")</f>
        <v>#REF!</v>
      </c>
      <c r="BH39" t="e">
        <f>AND(#REF!,"AAAAABzp5Ts=")</f>
        <v>#REF!</v>
      </c>
      <c r="BI39" t="e">
        <f>IF(#REF!,"AAAAABzp5Tw=",0)</f>
        <v>#REF!</v>
      </c>
      <c r="BJ39" t="e">
        <f>AND(#REF!,"AAAAABzp5T0=")</f>
        <v>#REF!</v>
      </c>
      <c r="BK39" t="e">
        <f>AND(#REF!,"AAAAABzp5T4=")</f>
        <v>#REF!</v>
      </c>
      <c r="BL39" t="e">
        <f>AND(#REF!,"AAAAABzp5T8=")</f>
        <v>#REF!</v>
      </c>
      <c r="BM39" t="e">
        <f>IF(#REF!,"AAAAABzp5UA=",0)</f>
        <v>#REF!</v>
      </c>
      <c r="BN39" t="e">
        <f>AND(#REF!,"AAAAABzp5UE=")</f>
        <v>#REF!</v>
      </c>
      <c r="BO39" t="e">
        <f>AND(#REF!,"AAAAABzp5UI=")</f>
        <v>#REF!</v>
      </c>
      <c r="BP39" t="e">
        <f>AND(#REF!,"AAAAABzp5UM=")</f>
        <v>#REF!</v>
      </c>
      <c r="BQ39" t="e">
        <f>IF(#REF!,"AAAAABzp5UQ=",0)</f>
        <v>#REF!</v>
      </c>
      <c r="BR39" t="e">
        <f>AND(#REF!,"AAAAABzp5UU=")</f>
        <v>#REF!</v>
      </c>
      <c r="BS39" t="e">
        <f>AND(#REF!,"AAAAABzp5UY=")</f>
        <v>#REF!</v>
      </c>
      <c r="BT39" t="e">
        <f>AND(#REF!,"AAAAABzp5Uc=")</f>
        <v>#REF!</v>
      </c>
      <c r="BU39" t="e">
        <f>IF(#REF!,"AAAAABzp5Ug=",0)</f>
        <v>#REF!</v>
      </c>
      <c r="BV39" t="e">
        <f>AND(#REF!,"AAAAABzp5Uk=")</f>
        <v>#REF!</v>
      </c>
      <c r="BW39" t="e">
        <f>AND(#REF!,"AAAAABzp5Uo=")</f>
        <v>#REF!</v>
      </c>
      <c r="BX39" t="e">
        <f>AND(#REF!,"AAAAABzp5Us=")</f>
        <v>#REF!</v>
      </c>
      <c r="BY39" t="e">
        <f>IF(#REF!,"AAAAABzp5Uw=",0)</f>
        <v>#REF!</v>
      </c>
      <c r="BZ39" t="e">
        <f>AND(#REF!,"AAAAABzp5U0=")</f>
        <v>#REF!</v>
      </c>
      <c r="CA39" t="e">
        <f>AND(#REF!,"AAAAABzp5U4=")</f>
        <v>#REF!</v>
      </c>
      <c r="CB39" t="e">
        <f>AND(#REF!,"AAAAABzp5U8=")</f>
        <v>#REF!</v>
      </c>
      <c r="CC39" t="e">
        <f>IF(#REF!,"AAAAABzp5VA=",0)</f>
        <v>#REF!</v>
      </c>
      <c r="CD39" t="e">
        <f>AND(#REF!,"AAAAABzp5VE=")</f>
        <v>#REF!</v>
      </c>
      <c r="CE39" t="e">
        <f>AND(#REF!,"AAAAABzp5VI=")</f>
        <v>#REF!</v>
      </c>
      <c r="CF39" t="e">
        <f>AND(#REF!,"AAAAABzp5VM=")</f>
        <v>#REF!</v>
      </c>
      <c r="CG39" t="e">
        <f>IF(#REF!,"AAAAABzp5VQ=",0)</f>
        <v>#REF!</v>
      </c>
      <c r="CH39" t="e">
        <f>AND(#REF!,"AAAAABzp5VU=")</f>
        <v>#REF!</v>
      </c>
      <c r="CI39" t="e">
        <f>AND(#REF!,"AAAAABzp5VY=")</f>
        <v>#REF!</v>
      </c>
      <c r="CJ39" t="e">
        <f>AND(#REF!,"AAAAABzp5Vc=")</f>
        <v>#REF!</v>
      </c>
      <c r="CK39" t="e">
        <f>IF(#REF!,"AAAAABzp5Vg=",0)</f>
        <v>#REF!</v>
      </c>
      <c r="CL39" t="e">
        <f>AND(#REF!,"AAAAABzp5Vk=")</f>
        <v>#REF!</v>
      </c>
      <c r="CM39" t="e">
        <f>AND(#REF!,"AAAAABzp5Vo=")</f>
        <v>#REF!</v>
      </c>
      <c r="CN39" t="e">
        <f>AND(#REF!,"AAAAABzp5Vs=")</f>
        <v>#REF!</v>
      </c>
      <c r="CO39" t="e">
        <f>IF(#REF!,"AAAAABzp5Vw=",0)</f>
        <v>#REF!</v>
      </c>
      <c r="CP39" t="e">
        <f>AND(#REF!,"AAAAABzp5V0=")</f>
        <v>#REF!</v>
      </c>
      <c r="CQ39" t="e">
        <f>AND(#REF!,"AAAAABzp5V4=")</f>
        <v>#REF!</v>
      </c>
      <c r="CR39" t="e">
        <f>AND(#REF!,"AAAAABzp5V8=")</f>
        <v>#REF!</v>
      </c>
      <c r="CS39" t="e">
        <f>IF(#REF!,"AAAAABzp5WA=",0)</f>
        <v>#REF!</v>
      </c>
      <c r="CT39" t="e">
        <f>AND(#REF!,"AAAAABzp5WE=")</f>
        <v>#REF!</v>
      </c>
      <c r="CU39" t="e">
        <f>AND(#REF!,"AAAAABzp5WI=")</f>
        <v>#REF!</v>
      </c>
      <c r="CV39" t="e">
        <f>AND(#REF!,"AAAAABzp5WM=")</f>
        <v>#REF!</v>
      </c>
      <c r="CW39" t="e">
        <f>IF(#REF!,"AAAAABzp5WQ=",0)</f>
        <v>#REF!</v>
      </c>
      <c r="CX39" t="e">
        <f>AND(#REF!,"AAAAABzp5WU=")</f>
        <v>#REF!</v>
      </c>
      <c r="CY39" t="e">
        <f>AND(#REF!,"AAAAABzp5WY=")</f>
        <v>#REF!</v>
      </c>
      <c r="CZ39" t="e">
        <f>AND(#REF!,"AAAAABzp5Wc=")</f>
        <v>#REF!</v>
      </c>
      <c r="DA39" t="e">
        <f>IF(#REF!,"AAAAABzp5Wg=",0)</f>
        <v>#REF!</v>
      </c>
      <c r="DB39" t="e">
        <f>AND(#REF!,"AAAAABzp5Wk=")</f>
        <v>#REF!</v>
      </c>
      <c r="DC39" t="e">
        <f>AND(#REF!,"AAAAABzp5Wo=")</f>
        <v>#REF!</v>
      </c>
      <c r="DD39" t="e">
        <f>AND(#REF!,"AAAAABzp5Ws=")</f>
        <v>#REF!</v>
      </c>
      <c r="DE39" t="e">
        <f>IF(#REF!,"AAAAABzp5Ww=",0)</f>
        <v>#REF!</v>
      </c>
      <c r="DF39" t="e">
        <f>AND(#REF!,"AAAAABzp5W0=")</f>
        <v>#REF!</v>
      </c>
      <c r="DG39" t="e">
        <f>AND(#REF!,"AAAAABzp5W4=")</f>
        <v>#REF!</v>
      </c>
      <c r="DH39" t="e">
        <f>AND(#REF!,"AAAAABzp5W8=")</f>
        <v>#REF!</v>
      </c>
      <c r="DI39" t="e">
        <f>IF(#REF!,"AAAAABzp5XA=",0)</f>
        <v>#REF!</v>
      </c>
      <c r="DJ39" t="e">
        <f>AND(#REF!,"AAAAABzp5XE=")</f>
        <v>#REF!</v>
      </c>
      <c r="DK39" t="e">
        <f>AND(#REF!,"AAAAABzp5XI=")</f>
        <v>#REF!</v>
      </c>
      <c r="DL39" t="e">
        <f>AND(#REF!,"AAAAABzp5XM=")</f>
        <v>#REF!</v>
      </c>
      <c r="DM39" t="e">
        <f>IF(#REF!,"AAAAABzp5XQ=",0)</f>
        <v>#REF!</v>
      </c>
      <c r="DN39" t="e">
        <f>AND(#REF!,"AAAAABzp5XU=")</f>
        <v>#REF!</v>
      </c>
      <c r="DO39" t="e">
        <f>AND(#REF!,"AAAAABzp5XY=")</f>
        <v>#REF!</v>
      </c>
      <c r="DP39" t="e">
        <f>AND(#REF!,"AAAAABzp5Xc=")</f>
        <v>#REF!</v>
      </c>
      <c r="DQ39" t="e">
        <f>IF(#REF!,"AAAAABzp5Xg=",0)</f>
        <v>#REF!</v>
      </c>
      <c r="DR39" t="e">
        <f>IF(#REF!,"AAAAABzp5Xk=",0)</f>
        <v>#REF!</v>
      </c>
      <c r="DS39" t="e">
        <f>IF(#REF!,"AAAAABzp5Xo=",0)</f>
        <v>#REF!</v>
      </c>
      <c r="DT39" t="e">
        <f>IF(#REF!,"AAAAABzp5Xs=",0)</f>
        <v>#REF!</v>
      </c>
      <c r="DU39" t="e">
        <f>IF(#REF!,"AAAAABzp5Xw=",0)</f>
        <v>#REF!</v>
      </c>
      <c r="DV39" t="e">
        <f>IF(#REF!,"AAAAABzp5X0=",0)</f>
        <v>#REF!</v>
      </c>
      <c r="DW39" t="e">
        <f>IF(#REF!,"AAAAABzp5X4=",0)</f>
        <v>#REF!</v>
      </c>
      <c r="DX39" t="e">
        <f>IF(#REF!,"AAAAABzp5X8=",0)</f>
        <v>#REF!</v>
      </c>
      <c r="DY39" t="e">
        <f>IF(#REF!,"AAAAABzp5YA=",0)</f>
        <v>#REF!</v>
      </c>
      <c r="DZ39" t="e">
        <f>IF(#REF!,"AAAAABzp5YE=",0)</f>
        <v>#REF!</v>
      </c>
      <c r="EA39" t="e">
        <f>IF(#REF!,"AAAAABzp5YI=",0)</f>
        <v>#REF!</v>
      </c>
      <c r="EB39" t="e">
        <f>IF(#REF!,"AAAAABzp5YM=",0)</f>
        <v>#REF!</v>
      </c>
      <c r="EC39" t="e">
        <f>IF(#REF!,"AAAAABzp5YQ=",0)</f>
        <v>#REF!</v>
      </c>
      <c r="ED39" t="e">
        <f>AND(#REF!,"AAAAABzp5YU=")</f>
        <v>#REF!</v>
      </c>
      <c r="EE39" t="e">
        <f>AND(#REF!,"AAAAABzp5YY=")</f>
        <v>#REF!</v>
      </c>
      <c r="EF39" t="e">
        <f>AND(#REF!,"AAAAABzp5Yc=")</f>
        <v>#REF!</v>
      </c>
      <c r="EG39" t="e">
        <f>AND(#REF!,"AAAAABzp5Yg=")</f>
        <v>#REF!</v>
      </c>
      <c r="EH39" t="e">
        <f>AND(#REF!,"AAAAABzp5Yk=")</f>
        <v>#REF!</v>
      </c>
      <c r="EI39" t="e">
        <f>AND(#REF!,"AAAAABzp5Yo=")</f>
        <v>#REF!</v>
      </c>
      <c r="EJ39" t="e">
        <f>AND(#REF!,"AAAAABzp5Ys=")</f>
        <v>#REF!</v>
      </c>
      <c r="EK39" t="e">
        <f>AND(#REF!,"AAAAABzp5Yw=")</f>
        <v>#REF!</v>
      </c>
      <c r="EL39" t="e">
        <f>AND(#REF!,"AAAAABzp5Y0=")</f>
        <v>#REF!</v>
      </c>
      <c r="EM39" t="e">
        <f>AND(#REF!,"AAAAABzp5Y4=")</f>
        <v>#REF!</v>
      </c>
      <c r="EN39" t="e">
        <f>AND(#REF!,"AAAAABzp5Y8=")</f>
        <v>#REF!</v>
      </c>
      <c r="EO39" t="e">
        <f>AND(#REF!,"AAAAABzp5ZA=")</f>
        <v>#REF!</v>
      </c>
      <c r="EP39" t="e">
        <f>AND(#REF!,"AAAAABzp5ZE=")</f>
        <v>#REF!</v>
      </c>
      <c r="EQ39" t="e">
        <f>AND(#REF!,"AAAAABzp5ZI=")</f>
        <v>#REF!</v>
      </c>
      <c r="ER39" t="e">
        <f>AND(#REF!,"AAAAABzp5ZM=")</f>
        <v>#REF!</v>
      </c>
      <c r="ES39" t="e">
        <f>AND(#REF!,"AAAAABzp5ZQ=")</f>
        <v>#REF!</v>
      </c>
      <c r="ET39" t="e">
        <f>IF(#REF!,"AAAAABzp5ZU=",0)</f>
        <v>#REF!</v>
      </c>
      <c r="EU39" t="e">
        <f>AND(#REF!,"AAAAABzp5ZY=")</f>
        <v>#REF!</v>
      </c>
      <c r="EV39" t="e">
        <f>AND(#REF!,"AAAAABzp5Zc=")</f>
        <v>#REF!</v>
      </c>
      <c r="EW39" t="e">
        <f>AND(#REF!,"AAAAABzp5Zg=")</f>
        <v>#REF!</v>
      </c>
      <c r="EX39" t="e">
        <f>AND(#REF!,"AAAAABzp5Zk=")</f>
        <v>#REF!</v>
      </c>
      <c r="EY39" t="e">
        <f>AND(#REF!,"AAAAABzp5Zo=")</f>
        <v>#REF!</v>
      </c>
      <c r="EZ39" t="e">
        <f>AND(#REF!,"AAAAABzp5Zs=")</f>
        <v>#REF!</v>
      </c>
      <c r="FA39" t="e">
        <f>AND(#REF!,"AAAAABzp5Zw=")</f>
        <v>#REF!</v>
      </c>
      <c r="FB39" t="e">
        <f>AND(#REF!,"AAAAABzp5Z0=")</f>
        <v>#REF!</v>
      </c>
      <c r="FC39" t="e">
        <f>AND(#REF!,"AAAAABzp5Z4=")</f>
        <v>#REF!</v>
      </c>
      <c r="FD39" t="e">
        <f>AND(#REF!,"AAAAABzp5Z8=")</f>
        <v>#REF!</v>
      </c>
      <c r="FE39" t="e">
        <f>AND(#REF!,"AAAAABzp5aA=")</f>
        <v>#REF!</v>
      </c>
      <c r="FF39" t="e">
        <f>AND(#REF!,"AAAAABzp5aE=")</f>
        <v>#REF!</v>
      </c>
      <c r="FG39" t="e">
        <f>AND(#REF!,"AAAAABzp5aI=")</f>
        <v>#REF!</v>
      </c>
      <c r="FH39" t="e">
        <f>AND(#REF!,"AAAAABzp5aM=")</f>
        <v>#REF!</v>
      </c>
      <c r="FI39" t="e">
        <f>AND(#REF!,"AAAAABzp5aQ=")</f>
        <v>#REF!</v>
      </c>
      <c r="FJ39" t="e">
        <f>AND(#REF!,"AAAAABzp5aU=")</f>
        <v>#REF!</v>
      </c>
      <c r="FK39" t="e">
        <f>IF(#REF!,"AAAAABzp5aY=",0)</f>
        <v>#REF!</v>
      </c>
      <c r="FL39" t="e">
        <f>AND(#REF!,"AAAAABzp5ac=")</f>
        <v>#REF!</v>
      </c>
      <c r="FM39" t="e">
        <f>AND(#REF!,"AAAAABzp5ag=")</f>
        <v>#REF!</v>
      </c>
      <c r="FN39" t="e">
        <f>AND(#REF!,"AAAAABzp5ak=")</f>
        <v>#REF!</v>
      </c>
      <c r="FO39" t="e">
        <f>AND(#REF!,"AAAAABzp5ao=")</f>
        <v>#REF!</v>
      </c>
      <c r="FP39" t="e">
        <f>AND(#REF!,"AAAAABzp5as=")</f>
        <v>#REF!</v>
      </c>
      <c r="FQ39" t="e">
        <f>AND(#REF!,"AAAAABzp5aw=")</f>
        <v>#REF!</v>
      </c>
      <c r="FR39" t="e">
        <f>AND(#REF!,"AAAAABzp5a0=")</f>
        <v>#REF!</v>
      </c>
      <c r="FS39" t="e">
        <f>AND(#REF!,"AAAAABzp5a4=")</f>
        <v>#REF!</v>
      </c>
      <c r="FT39" t="e">
        <f>AND(#REF!,"AAAAABzp5a8=")</f>
        <v>#REF!</v>
      </c>
      <c r="FU39" t="e">
        <f>AND(#REF!,"AAAAABzp5bA=")</f>
        <v>#REF!</v>
      </c>
      <c r="FV39" t="e">
        <f>AND(#REF!,"AAAAABzp5bE=")</f>
        <v>#REF!</v>
      </c>
      <c r="FW39" t="e">
        <f>AND(#REF!,"AAAAABzp5bI=")</f>
        <v>#REF!</v>
      </c>
      <c r="FX39" t="e">
        <f>AND(#REF!,"AAAAABzp5bM=")</f>
        <v>#REF!</v>
      </c>
      <c r="FY39" t="e">
        <f>AND(#REF!,"AAAAABzp5bQ=")</f>
        <v>#REF!</v>
      </c>
      <c r="FZ39" t="e">
        <f>AND(#REF!,"AAAAABzp5bU=")</f>
        <v>#REF!</v>
      </c>
      <c r="GA39" t="e">
        <f>AND(#REF!,"AAAAABzp5bY=")</f>
        <v>#REF!</v>
      </c>
      <c r="GB39" t="e">
        <f>IF(#REF!,"AAAAABzp5bc=",0)</f>
        <v>#REF!</v>
      </c>
      <c r="GC39" t="e">
        <f>AND(#REF!,"AAAAABzp5bg=")</f>
        <v>#REF!</v>
      </c>
      <c r="GD39" t="e">
        <f>AND(#REF!,"AAAAABzp5bk=")</f>
        <v>#REF!</v>
      </c>
      <c r="GE39" t="e">
        <f>AND(#REF!,"AAAAABzp5bo=")</f>
        <v>#REF!</v>
      </c>
      <c r="GF39" t="e">
        <f>AND(#REF!,"AAAAABzp5bs=")</f>
        <v>#REF!</v>
      </c>
      <c r="GG39" t="e">
        <f>AND(#REF!,"AAAAABzp5bw=")</f>
        <v>#REF!</v>
      </c>
      <c r="GH39" t="e">
        <f>AND(#REF!,"AAAAABzp5b0=")</f>
        <v>#REF!</v>
      </c>
      <c r="GI39" t="e">
        <f>AND(#REF!,"AAAAABzp5b4=")</f>
        <v>#REF!</v>
      </c>
      <c r="GJ39" t="e">
        <f>AND(#REF!,"AAAAABzp5b8=")</f>
        <v>#REF!</v>
      </c>
      <c r="GK39" t="e">
        <f>AND(#REF!,"AAAAABzp5cA=")</f>
        <v>#REF!</v>
      </c>
      <c r="GL39" t="e">
        <f>AND(#REF!,"AAAAABzp5cE=")</f>
        <v>#REF!</v>
      </c>
      <c r="GM39" t="e">
        <f>AND(#REF!,"AAAAABzp5cI=")</f>
        <v>#REF!</v>
      </c>
      <c r="GN39" t="e">
        <f>AND(#REF!,"AAAAABzp5cM=")</f>
        <v>#REF!</v>
      </c>
      <c r="GO39" t="e">
        <f>AND(#REF!,"AAAAABzp5cQ=")</f>
        <v>#REF!</v>
      </c>
      <c r="GP39" t="e">
        <f>AND(#REF!,"AAAAABzp5cU=")</f>
        <v>#REF!</v>
      </c>
      <c r="GQ39" t="e">
        <f>AND(#REF!,"AAAAABzp5cY=")</f>
        <v>#REF!</v>
      </c>
      <c r="GR39" t="e">
        <f>AND(#REF!,"AAAAABzp5cc=")</f>
        <v>#REF!</v>
      </c>
      <c r="GS39" t="e">
        <f>IF(#REF!,"AAAAABzp5cg=",0)</f>
        <v>#REF!</v>
      </c>
      <c r="GT39" t="e">
        <f>AND(#REF!,"AAAAABzp5ck=")</f>
        <v>#REF!</v>
      </c>
      <c r="GU39" t="e">
        <f>AND(#REF!,"AAAAABzp5co=")</f>
        <v>#REF!</v>
      </c>
      <c r="GV39" t="e">
        <f>AND(#REF!,"AAAAABzp5cs=")</f>
        <v>#REF!</v>
      </c>
      <c r="GW39" t="e">
        <f>AND(#REF!,"AAAAABzp5cw=")</f>
        <v>#REF!</v>
      </c>
      <c r="GX39" t="e">
        <f>AND(#REF!,"AAAAABzp5c0=")</f>
        <v>#REF!</v>
      </c>
      <c r="GY39" t="e">
        <f>AND(#REF!,"AAAAABzp5c4=")</f>
        <v>#REF!</v>
      </c>
      <c r="GZ39" t="e">
        <f>AND(#REF!,"AAAAABzp5c8=")</f>
        <v>#REF!</v>
      </c>
      <c r="HA39" t="e">
        <f>AND(#REF!,"AAAAABzp5dA=")</f>
        <v>#REF!</v>
      </c>
      <c r="HB39" t="e">
        <f>AND(#REF!,"AAAAABzp5dE=")</f>
        <v>#REF!</v>
      </c>
      <c r="HC39" t="e">
        <f>AND(#REF!,"AAAAABzp5dI=")</f>
        <v>#REF!</v>
      </c>
      <c r="HD39" t="e">
        <f>AND(#REF!,"AAAAABzp5dM=")</f>
        <v>#REF!</v>
      </c>
      <c r="HE39" t="e">
        <f>AND(#REF!,"AAAAABzp5dQ=")</f>
        <v>#REF!</v>
      </c>
      <c r="HF39" t="e">
        <f>AND(#REF!,"AAAAABzp5dU=")</f>
        <v>#REF!</v>
      </c>
      <c r="HG39" t="e">
        <f>AND(#REF!,"AAAAABzp5dY=")</f>
        <v>#REF!</v>
      </c>
      <c r="HH39" t="e">
        <f>AND(#REF!,"AAAAABzp5dc=")</f>
        <v>#REF!</v>
      </c>
      <c r="HI39" t="e">
        <f>AND(#REF!,"AAAAABzp5dg=")</f>
        <v>#REF!</v>
      </c>
      <c r="HJ39" t="e">
        <f>IF(#REF!,"AAAAABzp5dk=",0)</f>
        <v>#REF!</v>
      </c>
      <c r="HK39" t="e">
        <f>AND(#REF!,"AAAAABzp5do=")</f>
        <v>#REF!</v>
      </c>
      <c r="HL39" t="e">
        <f>AND(#REF!,"AAAAABzp5ds=")</f>
        <v>#REF!</v>
      </c>
      <c r="HM39" t="e">
        <f>AND(#REF!,"AAAAABzp5dw=")</f>
        <v>#REF!</v>
      </c>
      <c r="HN39" t="e">
        <f>AND(#REF!,"AAAAABzp5d0=")</f>
        <v>#REF!</v>
      </c>
      <c r="HO39" t="e">
        <f>AND(#REF!,"AAAAABzp5d4=")</f>
        <v>#REF!</v>
      </c>
      <c r="HP39" t="e">
        <f>AND(#REF!,"AAAAABzp5d8=")</f>
        <v>#REF!</v>
      </c>
      <c r="HQ39" t="e">
        <f>AND(#REF!,"AAAAABzp5eA=")</f>
        <v>#REF!</v>
      </c>
      <c r="HR39" t="e">
        <f>AND(#REF!,"AAAAABzp5eE=")</f>
        <v>#REF!</v>
      </c>
      <c r="HS39" t="e">
        <f>AND(#REF!,"AAAAABzp5eI=")</f>
        <v>#REF!</v>
      </c>
      <c r="HT39" t="e">
        <f>AND(#REF!,"AAAAABzp5eM=")</f>
        <v>#REF!</v>
      </c>
      <c r="HU39" t="e">
        <f>AND(#REF!,"AAAAABzp5eQ=")</f>
        <v>#REF!</v>
      </c>
      <c r="HV39" t="e">
        <f>AND(#REF!,"AAAAABzp5eU=")</f>
        <v>#REF!</v>
      </c>
      <c r="HW39" t="e">
        <f>AND(#REF!,"AAAAABzp5eY=")</f>
        <v>#REF!</v>
      </c>
      <c r="HX39" t="e">
        <f>AND(#REF!,"AAAAABzp5ec=")</f>
        <v>#REF!</v>
      </c>
      <c r="HY39" t="e">
        <f>AND(#REF!,"AAAAABzp5eg=")</f>
        <v>#REF!</v>
      </c>
      <c r="HZ39" t="e">
        <f>AND(#REF!,"AAAAABzp5ek=")</f>
        <v>#REF!</v>
      </c>
      <c r="IA39" t="e">
        <f>IF(#REF!,"AAAAABzp5eo=",0)</f>
        <v>#REF!</v>
      </c>
      <c r="IB39" t="e">
        <f>AND(#REF!,"AAAAABzp5es=")</f>
        <v>#REF!</v>
      </c>
      <c r="IC39" t="e">
        <f>AND(#REF!,"AAAAABzp5ew=")</f>
        <v>#REF!</v>
      </c>
      <c r="ID39" t="e">
        <f>AND(#REF!,"AAAAABzp5e0=")</f>
        <v>#REF!</v>
      </c>
      <c r="IE39" t="e">
        <f>AND(#REF!,"AAAAABzp5e4=")</f>
        <v>#REF!</v>
      </c>
      <c r="IF39" t="e">
        <f>AND(#REF!,"AAAAABzp5e8=")</f>
        <v>#REF!</v>
      </c>
      <c r="IG39" t="e">
        <f>AND(#REF!,"AAAAABzp5fA=")</f>
        <v>#REF!</v>
      </c>
      <c r="IH39" t="e">
        <f>AND(#REF!,"AAAAABzp5fE=")</f>
        <v>#REF!</v>
      </c>
      <c r="II39" t="e">
        <f>AND(#REF!,"AAAAABzp5fI=")</f>
        <v>#REF!</v>
      </c>
      <c r="IJ39" t="e">
        <f>AND(#REF!,"AAAAABzp5fM=")</f>
        <v>#REF!</v>
      </c>
      <c r="IK39" t="e">
        <f>AND(#REF!,"AAAAABzp5fQ=")</f>
        <v>#REF!</v>
      </c>
      <c r="IL39" t="e">
        <f>AND(#REF!,"AAAAABzp5fU=")</f>
        <v>#REF!</v>
      </c>
      <c r="IM39" t="e">
        <f>AND(#REF!,"AAAAABzp5fY=")</f>
        <v>#REF!</v>
      </c>
      <c r="IN39" t="e">
        <f>AND(#REF!,"AAAAABzp5fc=")</f>
        <v>#REF!</v>
      </c>
      <c r="IO39" t="e">
        <f>AND(#REF!,"AAAAABzp5fg=")</f>
        <v>#REF!</v>
      </c>
      <c r="IP39" t="e">
        <f>AND(#REF!,"AAAAABzp5fk=")</f>
        <v>#REF!</v>
      </c>
      <c r="IQ39" t="e">
        <f>AND(#REF!,"AAAAABzp5fo=")</f>
        <v>#REF!</v>
      </c>
      <c r="IR39" t="e">
        <f>IF(#REF!,"AAAAABzp5fs=",0)</f>
        <v>#REF!</v>
      </c>
      <c r="IS39" t="e">
        <f>AND(#REF!,"AAAAABzp5fw=")</f>
        <v>#REF!</v>
      </c>
      <c r="IT39" t="e">
        <f>AND(#REF!,"AAAAABzp5f0=")</f>
        <v>#REF!</v>
      </c>
      <c r="IU39" t="e">
        <f>AND(#REF!,"AAAAABzp5f4=")</f>
        <v>#REF!</v>
      </c>
      <c r="IV39" t="e">
        <f>AND(#REF!,"AAAAABzp5f8=")</f>
        <v>#REF!</v>
      </c>
    </row>
    <row r="40" spans="1:256">
      <c r="A40" t="e">
        <f>AND(#REF!,"AAAAAFe9vwA=")</f>
        <v>#REF!</v>
      </c>
      <c r="B40" t="e">
        <f>AND(#REF!,"AAAAAFe9vwE=")</f>
        <v>#REF!</v>
      </c>
      <c r="C40" t="e">
        <f>AND(#REF!,"AAAAAFe9vwI=")</f>
        <v>#REF!</v>
      </c>
      <c r="D40" t="e">
        <f>AND(#REF!,"AAAAAFe9vwM=")</f>
        <v>#REF!</v>
      </c>
      <c r="E40" t="e">
        <f>AND(#REF!,"AAAAAFe9vwQ=")</f>
        <v>#REF!</v>
      </c>
      <c r="F40" t="e">
        <f>AND(#REF!,"AAAAAFe9vwU=")</f>
        <v>#REF!</v>
      </c>
      <c r="G40" t="e">
        <f>AND(#REF!,"AAAAAFe9vwY=")</f>
        <v>#REF!</v>
      </c>
      <c r="H40" t="e">
        <f>AND(#REF!,"AAAAAFe9vwc=")</f>
        <v>#REF!</v>
      </c>
      <c r="I40" t="e">
        <f>AND(#REF!,"AAAAAFe9vwg=")</f>
        <v>#REF!</v>
      </c>
      <c r="J40" t="e">
        <f>AND(#REF!,"AAAAAFe9vwk=")</f>
        <v>#REF!</v>
      </c>
      <c r="K40" t="e">
        <f>AND(#REF!,"AAAAAFe9vwo=")</f>
        <v>#REF!</v>
      </c>
      <c r="L40" t="e">
        <f>AND(#REF!,"AAAAAFe9vws=")</f>
        <v>#REF!</v>
      </c>
      <c r="M40" t="e">
        <f>IF(#REF!,"AAAAAFe9vww=",0)</f>
        <v>#REF!</v>
      </c>
      <c r="N40" t="e">
        <f>AND(#REF!,"AAAAAFe9vw0=")</f>
        <v>#REF!</v>
      </c>
      <c r="O40" t="e">
        <f>AND(#REF!,"AAAAAFe9vw4=")</f>
        <v>#REF!</v>
      </c>
      <c r="P40" t="e">
        <f>AND(#REF!,"AAAAAFe9vw8=")</f>
        <v>#REF!</v>
      </c>
      <c r="Q40" t="e">
        <f>AND(#REF!,"AAAAAFe9vxA=")</f>
        <v>#REF!</v>
      </c>
      <c r="R40" t="e">
        <f>AND(#REF!,"AAAAAFe9vxE=")</f>
        <v>#REF!</v>
      </c>
      <c r="S40" t="e">
        <f>AND(#REF!,"AAAAAFe9vxI=")</f>
        <v>#REF!</v>
      </c>
      <c r="T40" t="e">
        <f>AND(#REF!,"AAAAAFe9vxM=")</f>
        <v>#REF!</v>
      </c>
      <c r="U40" t="e">
        <f>AND(#REF!,"AAAAAFe9vxQ=")</f>
        <v>#REF!</v>
      </c>
      <c r="V40" t="e">
        <f>AND(#REF!,"AAAAAFe9vxU=")</f>
        <v>#REF!</v>
      </c>
      <c r="W40" t="e">
        <f>AND(#REF!,"AAAAAFe9vxY=")</f>
        <v>#REF!</v>
      </c>
      <c r="X40" t="e">
        <f>AND(#REF!,"AAAAAFe9vxc=")</f>
        <v>#REF!</v>
      </c>
      <c r="Y40" t="e">
        <f>AND(#REF!,"AAAAAFe9vxg=")</f>
        <v>#REF!</v>
      </c>
      <c r="Z40" t="e">
        <f>AND(#REF!,"AAAAAFe9vxk=")</f>
        <v>#REF!</v>
      </c>
      <c r="AA40" t="e">
        <f>AND(#REF!,"AAAAAFe9vxo=")</f>
        <v>#REF!</v>
      </c>
      <c r="AB40" t="e">
        <f>AND(#REF!,"AAAAAFe9vxs=")</f>
        <v>#REF!</v>
      </c>
      <c r="AC40" t="e">
        <f>AND(#REF!,"AAAAAFe9vxw=")</f>
        <v>#REF!</v>
      </c>
      <c r="AD40" t="e">
        <f>IF(#REF!,"AAAAAFe9vx0=",0)</f>
        <v>#REF!</v>
      </c>
      <c r="AE40" t="e">
        <f>AND(#REF!,"AAAAAFe9vx4=")</f>
        <v>#REF!</v>
      </c>
      <c r="AF40" t="e">
        <f>AND(#REF!,"AAAAAFe9vx8=")</f>
        <v>#REF!</v>
      </c>
      <c r="AG40" t="e">
        <f>AND(#REF!,"AAAAAFe9vyA=")</f>
        <v>#REF!</v>
      </c>
      <c r="AH40" t="e">
        <f>AND(#REF!,"AAAAAFe9vyE=")</f>
        <v>#REF!</v>
      </c>
      <c r="AI40" t="e">
        <f>AND(#REF!,"AAAAAFe9vyI=")</f>
        <v>#REF!</v>
      </c>
      <c r="AJ40" t="e">
        <f>AND(#REF!,"AAAAAFe9vyM=")</f>
        <v>#REF!</v>
      </c>
      <c r="AK40" t="e">
        <f>AND(#REF!,"AAAAAFe9vyQ=")</f>
        <v>#REF!</v>
      </c>
      <c r="AL40" t="e">
        <f>AND(#REF!,"AAAAAFe9vyU=")</f>
        <v>#REF!</v>
      </c>
      <c r="AM40" t="e">
        <f>AND(#REF!,"AAAAAFe9vyY=")</f>
        <v>#REF!</v>
      </c>
      <c r="AN40" t="e">
        <f>AND(#REF!,"AAAAAFe9vyc=")</f>
        <v>#REF!</v>
      </c>
      <c r="AO40" t="e">
        <f>AND(#REF!,"AAAAAFe9vyg=")</f>
        <v>#REF!</v>
      </c>
      <c r="AP40" t="e">
        <f>AND(#REF!,"AAAAAFe9vyk=")</f>
        <v>#REF!</v>
      </c>
      <c r="AQ40" t="e">
        <f>AND(#REF!,"AAAAAFe9vyo=")</f>
        <v>#REF!</v>
      </c>
      <c r="AR40" t="e">
        <f>AND(#REF!,"AAAAAFe9vys=")</f>
        <v>#REF!</v>
      </c>
      <c r="AS40" t="e">
        <f>AND(#REF!,"AAAAAFe9vyw=")</f>
        <v>#REF!</v>
      </c>
      <c r="AT40" t="e">
        <f>AND(#REF!,"AAAAAFe9vy0=")</f>
        <v>#REF!</v>
      </c>
      <c r="AU40" t="e">
        <f>IF(#REF!,"AAAAAFe9vy4=",0)</f>
        <v>#REF!</v>
      </c>
      <c r="AV40" t="e">
        <f>AND(#REF!,"AAAAAFe9vy8=")</f>
        <v>#REF!</v>
      </c>
      <c r="AW40" t="e">
        <f>AND(#REF!,"AAAAAFe9vzA=")</f>
        <v>#REF!</v>
      </c>
      <c r="AX40" t="e">
        <f>AND(#REF!,"AAAAAFe9vzE=")</f>
        <v>#REF!</v>
      </c>
      <c r="AY40" t="e">
        <f>AND(#REF!,"AAAAAFe9vzI=")</f>
        <v>#REF!</v>
      </c>
      <c r="AZ40" t="e">
        <f>AND(#REF!,"AAAAAFe9vzM=")</f>
        <v>#REF!</v>
      </c>
      <c r="BA40" t="e">
        <f>AND(#REF!,"AAAAAFe9vzQ=")</f>
        <v>#REF!</v>
      </c>
      <c r="BB40" t="e">
        <f>AND(#REF!,"AAAAAFe9vzU=")</f>
        <v>#REF!</v>
      </c>
      <c r="BC40" t="e">
        <f>AND(#REF!,"AAAAAFe9vzY=")</f>
        <v>#REF!</v>
      </c>
      <c r="BD40" t="e">
        <f>AND(#REF!,"AAAAAFe9vzc=")</f>
        <v>#REF!</v>
      </c>
      <c r="BE40" t="e">
        <f>AND(#REF!,"AAAAAFe9vzg=")</f>
        <v>#REF!</v>
      </c>
      <c r="BF40" t="e">
        <f>AND(#REF!,"AAAAAFe9vzk=")</f>
        <v>#REF!</v>
      </c>
      <c r="BG40" t="e">
        <f>AND(#REF!,"AAAAAFe9vzo=")</f>
        <v>#REF!</v>
      </c>
      <c r="BH40" t="e">
        <f>AND(#REF!,"AAAAAFe9vzs=")</f>
        <v>#REF!</v>
      </c>
      <c r="BI40" t="e">
        <f>AND(#REF!,"AAAAAFe9vzw=")</f>
        <v>#REF!</v>
      </c>
      <c r="BJ40" t="e">
        <f>AND(#REF!,"AAAAAFe9vz0=")</f>
        <v>#REF!</v>
      </c>
      <c r="BK40" t="e">
        <f>AND(#REF!,"AAAAAFe9vz4=")</f>
        <v>#REF!</v>
      </c>
      <c r="BL40" t="e">
        <f>IF(#REF!,"AAAAAFe9vz8=",0)</f>
        <v>#REF!</v>
      </c>
      <c r="BM40" t="e">
        <f>AND(#REF!,"AAAAAFe9v0A=")</f>
        <v>#REF!</v>
      </c>
      <c r="BN40" t="e">
        <f>AND(#REF!,"AAAAAFe9v0E=")</f>
        <v>#REF!</v>
      </c>
      <c r="BO40" t="e">
        <f>AND(#REF!,"AAAAAFe9v0I=")</f>
        <v>#REF!</v>
      </c>
      <c r="BP40" t="e">
        <f>AND(#REF!,"AAAAAFe9v0M=")</f>
        <v>#REF!</v>
      </c>
      <c r="BQ40" t="e">
        <f>AND(#REF!,"AAAAAFe9v0Q=")</f>
        <v>#REF!</v>
      </c>
      <c r="BR40" t="e">
        <f>AND(#REF!,"AAAAAFe9v0U=")</f>
        <v>#REF!</v>
      </c>
      <c r="BS40" t="e">
        <f>AND(#REF!,"AAAAAFe9v0Y=")</f>
        <v>#REF!</v>
      </c>
      <c r="BT40" t="e">
        <f>AND(#REF!,"AAAAAFe9v0c=")</f>
        <v>#REF!</v>
      </c>
      <c r="BU40" t="e">
        <f>AND(#REF!,"AAAAAFe9v0g=")</f>
        <v>#REF!</v>
      </c>
      <c r="BV40" t="e">
        <f>AND(#REF!,"AAAAAFe9v0k=")</f>
        <v>#REF!</v>
      </c>
      <c r="BW40" t="e">
        <f>AND(#REF!,"AAAAAFe9v0o=")</f>
        <v>#REF!</v>
      </c>
      <c r="BX40" t="e">
        <f>AND(#REF!,"AAAAAFe9v0s=")</f>
        <v>#REF!</v>
      </c>
      <c r="BY40" t="e">
        <f>AND(#REF!,"AAAAAFe9v0w=")</f>
        <v>#REF!</v>
      </c>
      <c r="BZ40" t="e">
        <f>AND(#REF!,"AAAAAFe9v00=")</f>
        <v>#REF!</v>
      </c>
      <c r="CA40" t="e">
        <f>AND(#REF!,"AAAAAFe9v04=")</f>
        <v>#REF!</v>
      </c>
      <c r="CB40" t="e">
        <f>AND(#REF!,"AAAAAFe9v08=")</f>
        <v>#REF!</v>
      </c>
      <c r="CC40" t="e">
        <f>IF(#REF!,"AAAAAFe9v1A=",0)</f>
        <v>#REF!</v>
      </c>
      <c r="CD40" t="e">
        <f>AND(#REF!,"AAAAAFe9v1E=")</f>
        <v>#REF!</v>
      </c>
      <c r="CE40" t="e">
        <f>AND(#REF!,"AAAAAFe9v1I=")</f>
        <v>#REF!</v>
      </c>
      <c r="CF40" t="e">
        <f>AND(#REF!,"AAAAAFe9v1M=")</f>
        <v>#REF!</v>
      </c>
      <c r="CG40" t="e">
        <f>AND(#REF!,"AAAAAFe9v1Q=")</f>
        <v>#REF!</v>
      </c>
      <c r="CH40" t="e">
        <f>AND(#REF!,"AAAAAFe9v1U=")</f>
        <v>#REF!</v>
      </c>
      <c r="CI40" t="e">
        <f>AND(#REF!,"AAAAAFe9v1Y=")</f>
        <v>#REF!</v>
      </c>
      <c r="CJ40" t="e">
        <f>AND(#REF!,"AAAAAFe9v1c=")</f>
        <v>#REF!</v>
      </c>
      <c r="CK40" t="e">
        <f>AND(#REF!,"AAAAAFe9v1g=")</f>
        <v>#REF!</v>
      </c>
      <c r="CL40" t="e">
        <f>AND(#REF!,"AAAAAFe9v1k=")</f>
        <v>#REF!</v>
      </c>
      <c r="CM40" t="e">
        <f>AND(#REF!,"AAAAAFe9v1o=")</f>
        <v>#REF!</v>
      </c>
      <c r="CN40" t="e">
        <f>AND(#REF!,"AAAAAFe9v1s=")</f>
        <v>#REF!</v>
      </c>
      <c r="CO40" t="e">
        <f>AND(#REF!,"AAAAAFe9v1w=")</f>
        <v>#REF!</v>
      </c>
      <c r="CP40" t="e">
        <f>AND(#REF!,"AAAAAFe9v10=")</f>
        <v>#REF!</v>
      </c>
      <c r="CQ40" t="e">
        <f>AND(#REF!,"AAAAAFe9v14=")</f>
        <v>#REF!</v>
      </c>
      <c r="CR40" t="e">
        <f>AND(#REF!,"AAAAAFe9v18=")</f>
        <v>#REF!</v>
      </c>
      <c r="CS40" t="e">
        <f>AND(#REF!,"AAAAAFe9v2A=")</f>
        <v>#REF!</v>
      </c>
      <c r="CT40" t="e">
        <f>IF(#REF!,"AAAAAFe9v2E=",0)</f>
        <v>#REF!</v>
      </c>
      <c r="CU40" t="e">
        <f>AND(#REF!,"AAAAAFe9v2I=")</f>
        <v>#REF!</v>
      </c>
      <c r="CV40" t="e">
        <f>AND(#REF!,"AAAAAFe9v2M=")</f>
        <v>#REF!</v>
      </c>
      <c r="CW40" t="e">
        <f>AND(#REF!,"AAAAAFe9v2Q=")</f>
        <v>#REF!</v>
      </c>
      <c r="CX40" t="e">
        <f>AND(#REF!,"AAAAAFe9v2U=")</f>
        <v>#REF!</v>
      </c>
      <c r="CY40" t="e">
        <f>AND(#REF!,"AAAAAFe9v2Y=")</f>
        <v>#REF!</v>
      </c>
      <c r="CZ40" t="e">
        <f>AND(#REF!,"AAAAAFe9v2c=")</f>
        <v>#REF!</v>
      </c>
      <c r="DA40" t="e">
        <f>AND(#REF!,"AAAAAFe9v2g=")</f>
        <v>#REF!</v>
      </c>
      <c r="DB40" t="e">
        <f>AND(#REF!,"AAAAAFe9v2k=")</f>
        <v>#REF!</v>
      </c>
      <c r="DC40" t="e">
        <f>AND(#REF!,"AAAAAFe9v2o=")</f>
        <v>#REF!</v>
      </c>
      <c r="DD40" t="e">
        <f>AND(#REF!,"AAAAAFe9v2s=")</f>
        <v>#REF!</v>
      </c>
      <c r="DE40" t="e">
        <f>AND(#REF!,"AAAAAFe9v2w=")</f>
        <v>#REF!</v>
      </c>
      <c r="DF40" t="e">
        <f>AND(#REF!,"AAAAAFe9v20=")</f>
        <v>#REF!</v>
      </c>
      <c r="DG40" t="e">
        <f>AND(#REF!,"AAAAAFe9v24=")</f>
        <v>#REF!</v>
      </c>
      <c r="DH40" t="e">
        <f>AND(#REF!,"AAAAAFe9v28=")</f>
        <v>#REF!</v>
      </c>
      <c r="DI40" t="e">
        <f>AND(#REF!,"AAAAAFe9v3A=")</f>
        <v>#REF!</v>
      </c>
      <c r="DJ40" t="e">
        <f>AND(#REF!,"AAAAAFe9v3E=")</f>
        <v>#REF!</v>
      </c>
      <c r="DK40" t="e">
        <f>IF(#REF!,"AAAAAFe9v3I=",0)</f>
        <v>#REF!</v>
      </c>
      <c r="DL40" t="e">
        <f>AND(#REF!,"AAAAAFe9v3M=")</f>
        <v>#REF!</v>
      </c>
      <c r="DM40" t="e">
        <f>AND(#REF!,"AAAAAFe9v3Q=")</f>
        <v>#REF!</v>
      </c>
      <c r="DN40" t="e">
        <f>AND(#REF!,"AAAAAFe9v3U=")</f>
        <v>#REF!</v>
      </c>
      <c r="DO40" t="e">
        <f>AND(#REF!,"AAAAAFe9v3Y=")</f>
        <v>#REF!</v>
      </c>
      <c r="DP40" t="e">
        <f>AND(#REF!,"AAAAAFe9v3c=")</f>
        <v>#REF!</v>
      </c>
      <c r="DQ40" t="e">
        <f>AND(#REF!,"AAAAAFe9v3g=")</f>
        <v>#REF!</v>
      </c>
      <c r="DR40" t="e">
        <f>AND(#REF!,"AAAAAFe9v3k=")</f>
        <v>#REF!</v>
      </c>
      <c r="DS40" t="e">
        <f>AND(#REF!,"AAAAAFe9v3o=")</f>
        <v>#REF!</v>
      </c>
      <c r="DT40" t="e">
        <f>AND(#REF!,"AAAAAFe9v3s=")</f>
        <v>#REF!</v>
      </c>
      <c r="DU40" t="e">
        <f>AND(#REF!,"AAAAAFe9v3w=")</f>
        <v>#REF!</v>
      </c>
      <c r="DV40" t="e">
        <f>AND(#REF!,"AAAAAFe9v30=")</f>
        <v>#REF!</v>
      </c>
      <c r="DW40" t="e">
        <f>AND(#REF!,"AAAAAFe9v34=")</f>
        <v>#REF!</v>
      </c>
      <c r="DX40" t="e">
        <f>AND(#REF!,"AAAAAFe9v38=")</f>
        <v>#REF!</v>
      </c>
      <c r="DY40" t="e">
        <f>AND(#REF!,"AAAAAFe9v4A=")</f>
        <v>#REF!</v>
      </c>
      <c r="DZ40" t="e">
        <f>AND(#REF!,"AAAAAFe9v4E=")</f>
        <v>#REF!</v>
      </c>
      <c r="EA40" t="e">
        <f>AND(#REF!,"AAAAAFe9v4I=")</f>
        <v>#REF!</v>
      </c>
      <c r="EB40" t="e">
        <f>IF(#REF!,"AAAAAFe9v4M=",0)</f>
        <v>#REF!</v>
      </c>
      <c r="EC40" t="e">
        <f>AND(#REF!,"AAAAAFe9v4Q=")</f>
        <v>#REF!</v>
      </c>
      <c r="ED40" t="e">
        <f>AND(#REF!,"AAAAAFe9v4U=")</f>
        <v>#REF!</v>
      </c>
      <c r="EE40" t="e">
        <f>AND(#REF!,"AAAAAFe9v4Y=")</f>
        <v>#REF!</v>
      </c>
      <c r="EF40" t="e">
        <f>AND(#REF!,"AAAAAFe9v4c=")</f>
        <v>#REF!</v>
      </c>
      <c r="EG40" t="e">
        <f>AND(#REF!,"AAAAAFe9v4g=")</f>
        <v>#REF!</v>
      </c>
      <c r="EH40" t="e">
        <f>AND(#REF!,"AAAAAFe9v4k=")</f>
        <v>#REF!</v>
      </c>
      <c r="EI40" t="e">
        <f>AND(#REF!,"AAAAAFe9v4o=")</f>
        <v>#REF!</v>
      </c>
      <c r="EJ40" t="e">
        <f>AND(#REF!,"AAAAAFe9v4s=")</f>
        <v>#REF!</v>
      </c>
      <c r="EK40" t="e">
        <f>AND(#REF!,"AAAAAFe9v4w=")</f>
        <v>#REF!</v>
      </c>
      <c r="EL40" t="e">
        <f>AND(#REF!,"AAAAAFe9v40=")</f>
        <v>#REF!</v>
      </c>
      <c r="EM40" t="e">
        <f>AND(#REF!,"AAAAAFe9v44=")</f>
        <v>#REF!</v>
      </c>
      <c r="EN40" t="e">
        <f>AND(#REF!,"AAAAAFe9v48=")</f>
        <v>#REF!</v>
      </c>
      <c r="EO40" t="e">
        <f>AND(#REF!,"AAAAAFe9v5A=")</f>
        <v>#REF!</v>
      </c>
      <c r="EP40" t="e">
        <f>AND(#REF!,"AAAAAFe9v5E=")</f>
        <v>#REF!</v>
      </c>
      <c r="EQ40" t="e">
        <f>AND(#REF!,"AAAAAFe9v5I=")</f>
        <v>#REF!</v>
      </c>
      <c r="ER40" t="e">
        <f>AND(#REF!,"AAAAAFe9v5M=")</f>
        <v>#REF!</v>
      </c>
      <c r="ES40" t="e">
        <f>IF(#REF!,"AAAAAFe9v5Q=",0)</f>
        <v>#REF!</v>
      </c>
      <c r="ET40" t="e">
        <f>AND(#REF!,"AAAAAFe9v5U=")</f>
        <v>#REF!</v>
      </c>
      <c r="EU40" t="e">
        <f>AND(#REF!,"AAAAAFe9v5Y=")</f>
        <v>#REF!</v>
      </c>
      <c r="EV40" t="e">
        <f>AND(#REF!,"AAAAAFe9v5c=")</f>
        <v>#REF!</v>
      </c>
      <c r="EW40" t="e">
        <f>AND(#REF!,"AAAAAFe9v5g=")</f>
        <v>#REF!</v>
      </c>
      <c r="EX40" t="e">
        <f>AND(#REF!,"AAAAAFe9v5k=")</f>
        <v>#REF!</v>
      </c>
      <c r="EY40" t="e">
        <f>AND(#REF!,"AAAAAFe9v5o=")</f>
        <v>#REF!</v>
      </c>
      <c r="EZ40" t="e">
        <f>AND(#REF!,"AAAAAFe9v5s=")</f>
        <v>#REF!</v>
      </c>
      <c r="FA40" t="e">
        <f>AND(#REF!,"AAAAAFe9v5w=")</f>
        <v>#REF!</v>
      </c>
      <c r="FB40" t="e">
        <f>AND(#REF!,"AAAAAFe9v50=")</f>
        <v>#REF!</v>
      </c>
      <c r="FC40" t="e">
        <f>AND(#REF!,"AAAAAFe9v54=")</f>
        <v>#REF!</v>
      </c>
      <c r="FD40" t="e">
        <f>AND(#REF!,"AAAAAFe9v58=")</f>
        <v>#REF!</v>
      </c>
      <c r="FE40" t="e">
        <f>AND(#REF!,"AAAAAFe9v6A=")</f>
        <v>#REF!</v>
      </c>
      <c r="FF40" t="e">
        <f>AND(#REF!,"AAAAAFe9v6E=")</f>
        <v>#REF!</v>
      </c>
      <c r="FG40" t="e">
        <f>AND(#REF!,"AAAAAFe9v6I=")</f>
        <v>#REF!</v>
      </c>
      <c r="FH40" t="e">
        <f>AND(#REF!,"AAAAAFe9v6M=")</f>
        <v>#REF!</v>
      </c>
      <c r="FI40" t="e">
        <f>AND(#REF!,"AAAAAFe9v6Q=")</f>
        <v>#REF!</v>
      </c>
      <c r="FJ40" t="e">
        <f>IF(#REF!,"AAAAAFe9v6U=",0)</f>
        <v>#REF!</v>
      </c>
      <c r="FK40" t="e">
        <f>AND(#REF!,"AAAAAFe9v6Y=")</f>
        <v>#REF!</v>
      </c>
      <c r="FL40" t="e">
        <f>AND(#REF!,"AAAAAFe9v6c=")</f>
        <v>#REF!</v>
      </c>
      <c r="FM40" t="e">
        <f>AND(#REF!,"AAAAAFe9v6g=")</f>
        <v>#REF!</v>
      </c>
      <c r="FN40" t="e">
        <f>AND(#REF!,"AAAAAFe9v6k=")</f>
        <v>#REF!</v>
      </c>
      <c r="FO40" t="e">
        <f>AND(#REF!,"AAAAAFe9v6o=")</f>
        <v>#REF!</v>
      </c>
      <c r="FP40" t="e">
        <f>AND(#REF!,"AAAAAFe9v6s=")</f>
        <v>#REF!</v>
      </c>
      <c r="FQ40" t="e">
        <f>AND(#REF!,"AAAAAFe9v6w=")</f>
        <v>#REF!</v>
      </c>
      <c r="FR40" t="e">
        <f>AND(#REF!,"AAAAAFe9v60=")</f>
        <v>#REF!</v>
      </c>
      <c r="FS40" t="e">
        <f>AND(#REF!,"AAAAAFe9v64=")</f>
        <v>#REF!</v>
      </c>
      <c r="FT40" t="e">
        <f>AND(#REF!,"AAAAAFe9v68=")</f>
        <v>#REF!</v>
      </c>
      <c r="FU40" t="e">
        <f>AND(#REF!,"AAAAAFe9v7A=")</f>
        <v>#REF!</v>
      </c>
      <c r="FV40" t="e">
        <f>AND(#REF!,"AAAAAFe9v7E=")</f>
        <v>#REF!</v>
      </c>
      <c r="FW40" t="e">
        <f>AND(#REF!,"AAAAAFe9v7I=")</f>
        <v>#REF!</v>
      </c>
      <c r="FX40" t="e">
        <f>AND(#REF!,"AAAAAFe9v7M=")</f>
        <v>#REF!</v>
      </c>
      <c r="FY40" t="e">
        <f>AND(#REF!,"AAAAAFe9v7Q=")</f>
        <v>#REF!</v>
      </c>
      <c r="FZ40" t="e">
        <f>AND(#REF!,"AAAAAFe9v7U=")</f>
        <v>#REF!</v>
      </c>
      <c r="GA40" t="e">
        <f>IF(#REF!,"AAAAAFe9v7Y=",0)</f>
        <v>#REF!</v>
      </c>
      <c r="GB40" t="e">
        <f>AND(#REF!,"AAAAAFe9v7c=")</f>
        <v>#REF!</v>
      </c>
      <c r="GC40" t="e">
        <f>AND(#REF!,"AAAAAFe9v7g=")</f>
        <v>#REF!</v>
      </c>
      <c r="GD40" t="e">
        <f>AND(#REF!,"AAAAAFe9v7k=")</f>
        <v>#REF!</v>
      </c>
      <c r="GE40" t="e">
        <f>AND(#REF!,"AAAAAFe9v7o=")</f>
        <v>#REF!</v>
      </c>
      <c r="GF40" t="e">
        <f>AND(#REF!,"AAAAAFe9v7s=")</f>
        <v>#REF!</v>
      </c>
      <c r="GG40" t="e">
        <f>AND(#REF!,"AAAAAFe9v7w=")</f>
        <v>#REF!</v>
      </c>
      <c r="GH40" t="e">
        <f>AND(#REF!,"AAAAAFe9v70=")</f>
        <v>#REF!</v>
      </c>
      <c r="GI40" t="e">
        <f>AND(#REF!,"AAAAAFe9v74=")</f>
        <v>#REF!</v>
      </c>
      <c r="GJ40" t="e">
        <f>AND(#REF!,"AAAAAFe9v78=")</f>
        <v>#REF!</v>
      </c>
      <c r="GK40" t="e">
        <f>AND(#REF!,"AAAAAFe9v8A=")</f>
        <v>#REF!</v>
      </c>
      <c r="GL40" t="e">
        <f>AND(#REF!,"AAAAAFe9v8E=")</f>
        <v>#REF!</v>
      </c>
      <c r="GM40" t="e">
        <f>AND(#REF!,"AAAAAFe9v8I=")</f>
        <v>#REF!</v>
      </c>
      <c r="GN40" t="e">
        <f>AND(#REF!,"AAAAAFe9v8M=")</f>
        <v>#REF!</v>
      </c>
      <c r="GO40" t="e">
        <f>AND(#REF!,"AAAAAFe9v8Q=")</f>
        <v>#REF!</v>
      </c>
      <c r="GP40" t="e">
        <f>AND(#REF!,"AAAAAFe9v8U=")</f>
        <v>#REF!</v>
      </c>
      <c r="GQ40" t="e">
        <f>AND(#REF!,"AAAAAFe9v8Y=")</f>
        <v>#REF!</v>
      </c>
      <c r="GR40" t="e">
        <f>IF(#REF!,"AAAAAFe9v8c=",0)</f>
        <v>#REF!</v>
      </c>
      <c r="GS40" t="e">
        <f>AND(#REF!,"AAAAAFe9v8g=")</f>
        <v>#REF!</v>
      </c>
      <c r="GT40" t="e">
        <f>AND(#REF!,"AAAAAFe9v8k=")</f>
        <v>#REF!</v>
      </c>
      <c r="GU40" t="e">
        <f>AND(#REF!,"AAAAAFe9v8o=")</f>
        <v>#REF!</v>
      </c>
      <c r="GV40" t="e">
        <f>AND(#REF!,"AAAAAFe9v8s=")</f>
        <v>#REF!</v>
      </c>
      <c r="GW40" t="e">
        <f>AND(#REF!,"AAAAAFe9v8w=")</f>
        <v>#REF!</v>
      </c>
      <c r="GX40" t="e">
        <f>AND(#REF!,"AAAAAFe9v80=")</f>
        <v>#REF!</v>
      </c>
      <c r="GY40" t="e">
        <f>AND(#REF!,"AAAAAFe9v84=")</f>
        <v>#REF!</v>
      </c>
      <c r="GZ40" t="e">
        <f>AND(#REF!,"AAAAAFe9v88=")</f>
        <v>#REF!</v>
      </c>
      <c r="HA40" t="e">
        <f>AND(#REF!,"AAAAAFe9v9A=")</f>
        <v>#REF!</v>
      </c>
      <c r="HB40" t="e">
        <f>AND(#REF!,"AAAAAFe9v9E=")</f>
        <v>#REF!</v>
      </c>
      <c r="HC40" t="e">
        <f>AND(#REF!,"AAAAAFe9v9I=")</f>
        <v>#REF!</v>
      </c>
      <c r="HD40" t="e">
        <f>AND(#REF!,"AAAAAFe9v9M=")</f>
        <v>#REF!</v>
      </c>
      <c r="HE40" t="e">
        <f>AND(#REF!,"AAAAAFe9v9Q=")</f>
        <v>#REF!</v>
      </c>
      <c r="HF40" t="e">
        <f>AND(#REF!,"AAAAAFe9v9U=")</f>
        <v>#REF!</v>
      </c>
      <c r="HG40" t="e">
        <f>AND(#REF!,"AAAAAFe9v9Y=")</f>
        <v>#REF!</v>
      </c>
      <c r="HH40" t="e">
        <f>AND(#REF!,"AAAAAFe9v9c=")</f>
        <v>#REF!</v>
      </c>
      <c r="HI40" t="e">
        <f>IF(#REF!,"AAAAAFe9v9g=",0)</f>
        <v>#REF!</v>
      </c>
      <c r="HJ40" t="e">
        <f>AND(#REF!,"AAAAAFe9v9k=")</f>
        <v>#REF!</v>
      </c>
      <c r="HK40" t="e">
        <f>AND(#REF!,"AAAAAFe9v9o=")</f>
        <v>#REF!</v>
      </c>
      <c r="HL40" t="e">
        <f>AND(#REF!,"AAAAAFe9v9s=")</f>
        <v>#REF!</v>
      </c>
      <c r="HM40" t="e">
        <f>AND(#REF!,"AAAAAFe9v9w=")</f>
        <v>#REF!</v>
      </c>
      <c r="HN40" t="e">
        <f>AND(#REF!,"AAAAAFe9v90=")</f>
        <v>#REF!</v>
      </c>
      <c r="HO40" t="e">
        <f>AND(#REF!,"AAAAAFe9v94=")</f>
        <v>#REF!</v>
      </c>
      <c r="HP40" t="e">
        <f>AND(#REF!,"AAAAAFe9v98=")</f>
        <v>#REF!</v>
      </c>
      <c r="HQ40" t="e">
        <f>AND(#REF!,"AAAAAFe9v+A=")</f>
        <v>#REF!</v>
      </c>
      <c r="HR40" t="e">
        <f>AND(#REF!,"AAAAAFe9v+E=")</f>
        <v>#REF!</v>
      </c>
      <c r="HS40" t="e">
        <f>AND(#REF!,"AAAAAFe9v+I=")</f>
        <v>#REF!</v>
      </c>
      <c r="HT40" t="e">
        <f>AND(#REF!,"AAAAAFe9v+M=")</f>
        <v>#REF!</v>
      </c>
      <c r="HU40" t="e">
        <f>AND(#REF!,"AAAAAFe9v+Q=")</f>
        <v>#REF!</v>
      </c>
      <c r="HV40" t="e">
        <f>AND(#REF!,"AAAAAFe9v+U=")</f>
        <v>#REF!</v>
      </c>
      <c r="HW40" t="e">
        <f>AND(#REF!,"AAAAAFe9v+Y=")</f>
        <v>#REF!</v>
      </c>
      <c r="HX40" t="e">
        <f>AND(#REF!,"AAAAAFe9v+c=")</f>
        <v>#REF!</v>
      </c>
      <c r="HY40" t="e">
        <f>AND(#REF!,"AAAAAFe9v+g=")</f>
        <v>#REF!</v>
      </c>
      <c r="HZ40" t="e">
        <f>IF(#REF!,"AAAAAFe9v+k=",0)</f>
        <v>#REF!</v>
      </c>
      <c r="IA40" t="e">
        <f>AND(#REF!,"AAAAAFe9v+o=")</f>
        <v>#REF!</v>
      </c>
      <c r="IB40" t="e">
        <f>AND(#REF!,"AAAAAFe9v+s=")</f>
        <v>#REF!</v>
      </c>
      <c r="IC40" t="e">
        <f>AND(#REF!,"AAAAAFe9v+w=")</f>
        <v>#REF!</v>
      </c>
      <c r="ID40" t="e">
        <f>AND(#REF!,"AAAAAFe9v+0=")</f>
        <v>#REF!</v>
      </c>
      <c r="IE40" t="e">
        <f>AND(#REF!,"AAAAAFe9v+4=")</f>
        <v>#REF!</v>
      </c>
      <c r="IF40" t="e">
        <f>AND(#REF!,"AAAAAFe9v+8=")</f>
        <v>#REF!</v>
      </c>
      <c r="IG40" t="e">
        <f>AND(#REF!,"AAAAAFe9v/A=")</f>
        <v>#REF!</v>
      </c>
      <c r="IH40" t="e">
        <f>AND(#REF!,"AAAAAFe9v/E=")</f>
        <v>#REF!</v>
      </c>
      <c r="II40" t="e">
        <f>AND(#REF!,"AAAAAFe9v/I=")</f>
        <v>#REF!</v>
      </c>
      <c r="IJ40" t="e">
        <f>AND(#REF!,"AAAAAFe9v/M=")</f>
        <v>#REF!</v>
      </c>
      <c r="IK40" t="e">
        <f>AND(#REF!,"AAAAAFe9v/Q=")</f>
        <v>#REF!</v>
      </c>
      <c r="IL40" t="e">
        <f>AND(#REF!,"AAAAAFe9v/U=")</f>
        <v>#REF!</v>
      </c>
      <c r="IM40" t="e">
        <f>AND(#REF!,"AAAAAFe9v/Y=")</f>
        <v>#REF!</v>
      </c>
      <c r="IN40" t="e">
        <f>AND(#REF!,"AAAAAFe9v/c=")</f>
        <v>#REF!</v>
      </c>
      <c r="IO40" t="e">
        <f>AND(#REF!,"AAAAAFe9v/g=")</f>
        <v>#REF!</v>
      </c>
      <c r="IP40" t="e">
        <f>AND(#REF!,"AAAAAFe9v/k=")</f>
        <v>#REF!</v>
      </c>
      <c r="IQ40" t="e">
        <f>IF(#REF!,"AAAAAFe9v/o=",0)</f>
        <v>#REF!</v>
      </c>
      <c r="IR40" t="e">
        <f>AND(#REF!,"AAAAAFe9v/s=")</f>
        <v>#REF!</v>
      </c>
      <c r="IS40" t="e">
        <f>AND(#REF!,"AAAAAFe9v/w=")</f>
        <v>#REF!</v>
      </c>
      <c r="IT40" t="e">
        <f>AND(#REF!,"AAAAAFe9v/0=")</f>
        <v>#REF!</v>
      </c>
      <c r="IU40" t="e">
        <f>AND(#REF!,"AAAAAFe9v/4=")</f>
        <v>#REF!</v>
      </c>
      <c r="IV40" t="e">
        <f>AND(#REF!,"AAAAAFe9v/8=")</f>
        <v>#REF!</v>
      </c>
    </row>
    <row r="41" spans="1:256">
      <c r="A41" t="e">
        <f>AND(#REF!,"AAAAAG/j/wA=")</f>
        <v>#REF!</v>
      </c>
      <c r="B41" t="e">
        <f>AND(#REF!,"AAAAAG/j/wE=")</f>
        <v>#REF!</v>
      </c>
      <c r="C41" t="e">
        <f>AND(#REF!,"AAAAAG/j/wI=")</f>
        <v>#REF!</v>
      </c>
      <c r="D41" t="e">
        <f>AND(#REF!,"AAAAAG/j/wM=")</f>
        <v>#REF!</v>
      </c>
      <c r="E41" t="e">
        <f>AND(#REF!,"AAAAAG/j/wQ=")</f>
        <v>#REF!</v>
      </c>
      <c r="F41" t="e">
        <f>AND(#REF!,"AAAAAG/j/wU=")</f>
        <v>#REF!</v>
      </c>
      <c r="G41" t="e">
        <f>AND(#REF!,"AAAAAG/j/wY=")</f>
        <v>#REF!</v>
      </c>
      <c r="H41" t="e">
        <f>AND(#REF!,"AAAAAG/j/wc=")</f>
        <v>#REF!</v>
      </c>
      <c r="I41" t="e">
        <f>AND(#REF!,"AAAAAG/j/wg=")</f>
        <v>#REF!</v>
      </c>
      <c r="J41" t="e">
        <f>AND(#REF!,"AAAAAG/j/wk=")</f>
        <v>#REF!</v>
      </c>
      <c r="K41" t="e">
        <f>AND(#REF!,"AAAAAG/j/wo=")</f>
        <v>#REF!</v>
      </c>
      <c r="L41" t="e">
        <f>IF(#REF!,"AAAAAG/j/ws=",0)</f>
        <v>#REF!</v>
      </c>
      <c r="M41" t="e">
        <f>AND(#REF!,"AAAAAG/j/ww=")</f>
        <v>#REF!</v>
      </c>
      <c r="N41" t="e">
        <f>AND(#REF!,"AAAAAG/j/w0=")</f>
        <v>#REF!</v>
      </c>
      <c r="O41" t="e">
        <f>AND(#REF!,"AAAAAG/j/w4=")</f>
        <v>#REF!</v>
      </c>
      <c r="P41" t="e">
        <f>AND(#REF!,"AAAAAG/j/w8=")</f>
        <v>#REF!</v>
      </c>
      <c r="Q41" t="e">
        <f>AND(#REF!,"AAAAAG/j/xA=")</f>
        <v>#REF!</v>
      </c>
      <c r="R41" t="e">
        <f>AND(#REF!,"AAAAAG/j/xE=")</f>
        <v>#REF!</v>
      </c>
      <c r="S41" t="e">
        <f>AND(#REF!,"AAAAAG/j/xI=")</f>
        <v>#REF!</v>
      </c>
      <c r="T41" t="e">
        <f>AND(#REF!,"AAAAAG/j/xM=")</f>
        <v>#REF!</v>
      </c>
      <c r="U41" t="e">
        <f>AND(#REF!,"AAAAAG/j/xQ=")</f>
        <v>#REF!</v>
      </c>
      <c r="V41" t="e">
        <f>AND(#REF!,"AAAAAG/j/xU=")</f>
        <v>#REF!</v>
      </c>
      <c r="W41" t="e">
        <f>AND(#REF!,"AAAAAG/j/xY=")</f>
        <v>#REF!</v>
      </c>
      <c r="X41" t="e">
        <f>AND(#REF!,"AAAAAG/j/xc=")</f>
        <v>#REF!</v>
      </c>
      <c r="Y41" t="e">
        <f>AND(#REF!,"AAAAAG/j/xg=")</f>
        <v>#REF!</v>
      </c>
      <c r="Z41" t="e">
        <f>AND(#REF!,"AAAAAG/j/xk=")</f>
        <v>#REF!</v>
      </c>
      <c r="AA41" t="e">
        <f>AND(#REF!,"AAAAAG/j/xo=")</f>
        <v>#REF!</v>
      </c>
      <c r="AB41" t="e">
        <f>AND(#REF!,"AAAAAG/j/xs=")</f>
        <v>#REF!</v>
      </c>
      <c r="AC41" t="e">
        <f>IF(#REF!,"AAAAAG/j/xw=",0)</f>
        <v>#REF!</v>
      </c>
      <c r="AD41" t="e">
        <f>AND(#REF!,"AAAAAG/j/x0=")</f>
        <v>#REF!</v>
      </c>
      <c r="AE41" t="e">
        <f>AND(#REF!,"AAAAAG/j/x4=")</f>
        <v>#REF!</v>
      </c>
      <c r="AF41" t="e">
        <f>AND(#REF!,"AAAAAG/j/x8=")</f>
        <v>#REF!</v>
      </c>
      <c r="AG41" t="e">
        <f>AND(#REF!,"AAAAAG/j/yA=")</f>
        <v>#REF!</v>
      </c>
      <c r="AH41" t="e">
        <f>AND(#REF!,"AAAAAG/j/yE=")</f>
        <v>#REF!</v>
      </c>
      <c r="AI41" t="e">
        <f>AND(#REF!,"AAAAAG/j/yI=")</f>
        <v>#REF!</v>
      </c>
      <c r="AJ41" t="e">
        <f>AND(#REF!,"AAAAAG/j/yM=")</f>
        <v>#REF!</v>
      </c>
      <c r="AK41" t="e">
        <f>AND(#REF!,"AAAAAG/j/yQ=")</f>
        <v>#REF!</v>
      </c>
      <c r="AL41" t="e">
        <f>AND(#REF!,"AAAAAG/j/yU=")</f>
        <v>#REF!</v>
      </c>
      <c r="AM41" t="e">
        <f>AND(#REF!,"AAAAAG/j/yY=")</f>
        <v>#REF!</v>
      </c>
      <c r="AN41" t="e">
        <f>AND(#REF!,"AAAAAG/j/yc=")</f>
        <v>#REF!</v>
      </c>
      <c r="AO41" t="e">
        <f>AND(#REF!,"AAAAAG/j/yg=")</f>
        <v>#REF!</v>
      </c>
      <c r="AP41" t="e">
        <f>AND(#REF!,"AAAAAG/j/yk=")</f>
        <v>#REF!</v>
      </c>
      <c r="AQ41" t="e">
        <f>AND(#REF!,"AAAAAG/j/yo=")</f>
        <v>#REF!</v>
      </c>
      <c r="AR41" t="e">
        <f>AND(#REF!,"AAAAAG/j/ys=")</f>
        <v>#REF!</v>
      </c>
      <c r="AS41" t="e">
        <f>AND(#REF!,"AAAAAG/j/yw=")</f>
        <v>#REF!</v>
      </c>
      <c r="AT41" t="e">
        <f>IF(#REF!,"AAAAAG/j/y0=",0)</f>
        <v>#REF!</v>
      </c>
      <c r="AU41" t="e">
        <f>AND(#REF!,"AAAAAG/j/y4=")</f>
        <v>#REF!</v>
      </c>
      <c r="AV41" t="e">
        <f>AND(#REF!,"AAAAAG/j/y8=")</f>
        <v>#REF!</v>
      </c>
      <c r="AW41" t="e">
        <f>AND(#REF!,"AAAAAG/j/zA=")</f>
        <v>#REF!</v>
      </c>
      <c r="AX41" t="e">
        <f>AND(#REF!,"AAAAAG/j/zE=")</f>
        <v>#REF!</v>
      </c>
      <c r="AY41" t="e">
        <f>AND(#REF!,"AAAAAG/j/zI=")</f>
        <v>#REF!</v>
      </c>
      <c r="AZ41" t="e">
        <f>AND(#REF!,"AAAAAG/j/zM=")</f>
        <v>#REF!</v>
      </c>
      <c r="BA41" t="e">
        <f>AND(#REF!,"AAAAAG/j/zQ=")</f>
        <v>#REF!</v>
      </c>
      <c r="BB41" t="e">
        <f>AND(#REF!,"AAAAAG/j/zU=")</f>
        <v>#REF!</v>
      </c>
      <c r="BC41" t="e">
        <f>AND(#REF!,"AAAAAG/j/zY=")</f>
        <v>#REF!</v>
      </c>
      <c r="BD41" t="e">
        <f>AND(#REF!,"AAAAAG/j/zc=")</f>
        <v>#REF!</v>
      </c>
      <c r="BE41" t="e">
        <f>AND(#REF!,"AAAAAG/j/zg=")</f>
        <v>#REF!</v>
      </c>
      <c r="BF41" t="e">
        <f>AND(#REF!,"AAAAAG/j/zk=")</f>
        <v>#REF!</v>
      </c>
      <c r="BG41" t="e">
        <f>AND(#REF!,"AAAAAG/j/zo=")</f>
        <v>#REF!</v>
      </c>
      <c r="BH41" t="e">
        <f>AND(#REF!,"AAAAAG/j/zs=")</f>
        <v>#REF!</v>
      </c>
      <c r="BI41" t="e">
        <f>AND(#REF!,"AAAAAG/j/zw=")</f>
        <v>#REF!</v>
      </c>
      <c r="BJ41" t="e">
        <f>AND(#REF!,"AAAAAG/j/z0=")</f>
        <v>#REF!</v>
      </c>
      <c r="BK41" t="e">
        <f>IF(#REF!,"AAAAAG/j/z4=",0)</f>
        <v>#REF!</v>
      </c>
      <c r="BL41" t="e">
        <f>AND(#REF!,"AAAAAG/j/z8=")</f>
        <v>#REF!</v>
      </c>
      <c r="BM41" t="e">
        <f>AND(#REF!,"AAAAAG/j/0A=")</f>
        <v>#REF!</v>
      </c>
      <c r="BN41" t="e">
        <f>AND(#REF!,"AAAAAG/j/0E=")</f>
        <v>#REF!</v>
      </c>
      <c r="BO41" t="e">
        <f>AND(#REF!,"AAAAAG/j/0I=")</f>
        <v>#REF!</v>
      </c>
      <c r="BP41" t="e">
        <f>AND(#REF!,"AAAAAG/j/0M=")</f>
        <v>#REF!</v>
      </c>
      <c r="BQ41" t="e">
        <f>AND(#REF!,"AAAAAG/j/0Q=")</f>
        <v>#REF!</v>
      </c>
      <c r="BR41" t="e">
        <f>AND(#REF!,"AAAAAG/j/0U=")</f>
        <v>#REF!</v>
      </c>
      <c r="BS41" t="e">
        <f>AND(#REF!,"AAAAAG/j/0Y=")</f>
        <v>#REF!</v>
      </c>
      <c r="BT41" t="e">
        <f>AND(#REF!,"AAAAAG/j/0c=")</f>
        <v>#REF!</v>
      </c>
      <c r="BU41" t="e">
        <f>AND(#REF!,"AAAAAG/j/0g=")</f>
        <v>#REF!</v>
      </c>
      <c r="BV41" t="e">
        <f>AND(#REF!,"AAAAAG/j/0k=")</f>
        <v>#REF!</v>
      </c>
      <c r="BW41" t="e">
        <f>AND(#REF!,"AAAAAG/j/0o=")</f>
        <v>#REF!</v>
      </c>
      <c r="BX41" t="e">
        <f>AND(#REF!,"AAAAAG/j/0s=")</f>
        <v>#REF!</v>
      </c>
      <c r="BY41" t="e">
        <f>AND(#REF!,"AAAAAG/j/0w=")</f>
        <v>#REF!</v>
      </c>
      <c r="BZ41" t="e">
        <f>AND(#REF!,"AAAAAG/j/00=")</f>
        <v>#REF!</v>
      </c>
      <c r="CA41" t="e">
        <f>AND(#REF!,"AAAAAG/j/04=")</f>
        <v>#REF!</v>
      </c>
      <c r="CB41" t="e">
        <f>IF(#REF!,"AAAAAG/j/08=",0)</f>
        <v>#REF!</v>
      </c>
      <c r="CC41" t="e">
        <f>AND(#REF!,"AAAAAG/j/1A=")</f>
        <v>#REF!</v>
      </c>
      <c r="CD41" t="e">
        <f>AND(#REF!,"AAAAAG/j/1E=")</f>
        <v>#REF!</v>
      </c>
      <c r="CE41" t="e">
        <f>AND(#REF!,"AAAAAG/j/1I=")</f>
        <v>#REF!</v>
      </c>
      <c r="CF41" t="e">
        <f>AND(#REF!,"AAAAAG/j/1M=")</f>
        <v>#REF!</v>
      </c>
      <c r="CG41" t="e">
        <f>AND(#REF!,"AAAAAG/j/1Q=")</f>
        <v>#REF!</v>
      </c>
      <c r="CH41" t="e">
        <f>AND(#REF!,"AAAAAG/j/1U=")</f>
        <v>#REF!</v>
      </c>
      <c r="CI41" t="e">
        <f>AND(#REF!,"AAAAAG/j/1Y=")</f>
        <v>#REF!</v>
      </c>
      <c r="CJ41" t="e">
        <f>AND(#REF!,"AAAAAG/j/1c=")</f>
        <v>#REF!</v>
      </c>
      <c r="CK41" t="e">
        <f>AND(#REF!,"AAAAAG/j/1g=")</f>
        <v>#REF!</v>
      </c>
      <c r="CL41" t="e">
        <f>AND(#REF!,"AAAAAG/j/1k=")</f>
        <v>#REF!</v>
      </c>
      <c r="CM41" t="e">
        <f>AND(#REF!,"AAAAAG/j/1o=")</f>
        <v>#REF!</v>
      </c>
      <c r="CN41" t="e">
        <f>AND(#REF!,"AAAAAG/j/1s=")</f>
        <v>#REF!</v>
      </c>
      <c r="CO41" t="e">
        <f>AND(#REF!,"AAAAAG/j/1w=")</f>
        <v>#REF!</v>
      </c>
      <c r="CP41" t="e">
        <f>AND(#REF!,"AAAAAG/j/10=")</f>
        <v>#REF!</v>
      </c>
      <c r="CQ41" t="e">
        <f>AND(#REF!,"AAAAAG/j/14=")</f>
        <v>#REF!</v>
      </c>
      <c r="CR41" t="e">
        <f>AND(#REF!,"AAAAAG/j/18=")</f>
        <v>#REF!</v>
      </c>
      <c r="CS41" t="e">
        <f>IF(#REF!,"AAAAAG/j/2A=",0)</f>
        <v>#REF!</v>
      </c>
      <c r="CT41" t="e">
        <f>AND(#REF!,"AAAAAG/j/2E=")</f>
        <v>#REF!</v>
      </c>
      <c r="CU41" t="e">
        <f>AND(#REF!,"AAAAAG/j/2I=")</f>
        <v>#REF!</v>
      </c>
      <c r="CV41" t="e">
        <f>AND(#REF!,"AAAAAG/j/2M=")</f>
        <v>#REF!</v>
      </c>
      <c r="CW41" t="e">
        <f>AND(#REF!,"AAAAAG/j/2Q=")</f>
        <v>#REF!</v>
      </c>
      <c r="CX41" t="e">
        <f>AND(#REF!,"AAAAAG/j/2U=")</f>
        <v>#REF!</v>
      </c>
      <c r="CY41" t="e">
        <f>AND(#REF!,"AAAAAG/j/2Y=")</f>
        <v>#REF!</v>
      </c>
      <c r="CZ41" t="e">
        <f>AND(#REF!,"AAAAAG/j/2c=")</f>
        <v>#REF!</v>
      </c>
      <c r="DA41" t="e">
        <f>AND(#REF!,"AAAAAG/j/2g=")</f>
        <v>#REF!</v>
      </c>
      <c r="DB41" t="e">
        <f>AND(#REF!,"AAAAAG/j/2k=")</f>
        <v>#REF!</v>
      </c>
      <c r="DC41" t="e">
        <f>AND(#REF!,"AAAAAG/j/2o=")</f>
        <v>#REF!</v>
      </c>
      <c r="DD41" t="e">
        <f>AND(#REF!,"AAAAAG/j/2s=")</f>
        <v>#REF!</v>
      </c>
      <c r="DE41" t="e">
        <f>AND(#REF!,"AAAAAG/j/2w=")</f>
        <v>#REF!</v>
      </c>
      <c r="DF41" t="e">
        <f>AND(#REF!,"AAAAAG/j/20=")</f>
        <v>#REF!</v>
      </c>
      <c r="DG41" t="e">
        <f>AND(#REF!,"AAAAAG/j/24=")</f>
        <v>#REF!</v>
      </c>
      <c r="DH41" t="e">
        <f>AND(#REF!,"AAAAAG/j/28=")</f>
        <v>#REF!</v>
      </c>
      <c r="DI41" t="e">
        <f>AND(#REF!,"AAAAAG/j/3A=")</f>
        <v>#REF!</v>
      </c>
      <c r="DJ41" t="e">
        <f>IF(#REF!,"AAAAAG/j/3E=",0)</f>
        <v>#REF!</v>
      </c>
      <c r="DK41" t="e">
        <f>AND(#REF!,"AAAAAG/j/3I=")</f>
        <v>#REF!</v>
      </c>
      <c r="DL41" t="e">
        <f>AND(#REF!,"AAAAAG/j/3M=")</f>
        <v>#REF!</v>
      </c>
      <c r="DM41" t="e">
        <f>AND(#REF!,"AAAAAG/j/3Q=")</f>
        <v>#REF!</v>
      </c>
      <c r="DN41" t="e">
        <f>AND(#REF!,"AAAAAG/j/3U=")</f>
        <v>#REF!</v>
      </c>
      <c r="DO41" t="e">
        <f>AND(#REF!,"AAAAAG/j/3Y=")</f>
        <v>#REF!</v>
      </c>
      <c r="DP41" t="e">
        <f>AND(#REF!,"AAAAAG/j/3c=")</f>
        <v>#REF!</v>
      </c>
      <c r="DQ41" t="e">
        <f>AND(#REF!,"AAAAAG/j/3g=")</f>
        <v>#REF!</v>
      </c>
      <c r="DR41" t="e">
        <f>AND(#REF!,"AAAAAG/j/3k=")</f>
        <v>#REF!</v>
      </c>
      <c r="DS41" t="e">
        <f>AND(#REF!,"AAAAAG/j/3o=")</f>
        <v>#REF!</v>
      </c>
      <c r="DT41" t="e">
        <f>AND(#REF!,"AAAAAG/j/3s=")</f>
        <v>#REF!</v>
      </c>
      <c r="DU41" t="e">
        <f>AND(#REF!,"AAAAAG/j/3w=")</f>
        <v>#REF!</v>
      </c>
      <c r="DV41" t="e">
        <f>AND(#REF!,"AAAAAG/j/30=")</f>
        <v>#REF!</v>
      </c>
      <c r="DW41" t="e">
        <f>AND(#REF!,"AAAAAG/j/34=")</f>
        <v>#REF!</v>
      </c>
      <c r="DX41" t="e">
        <f>AND(#REF!,"AAAAAG/j/38=")</f>
        <v>#REF!</v>
      </c>
      <c r="DY41" t="e">
        <f>AND(#REF!,"AAAAAG/j/4A=")</f>
        <v>#REF!</v>
      </c>
      <c r="DZ41" t="e">
        <f>AND(#REF!,"AAAAAG/j/4E=")</f>
        <v>#REF!</v>
      </c>
      <c r="EA41" t="e">
        <f>IF(#REF!,"AAAAAG/j/4I=",0)</f>
        <v>#REF!</v>
      </c>
      <c r="EB41" t="e">
        <f>AND(#REF!,"AAAAAG/j/4M=")</f>
        <v>#REF!</v>
      </c>
      <c r="EC41" t="e">
        <f>AND(#REF!,"AAAAAG/j/4Q=")</f>
        <v>#REF!</v>
      </c>
      <c r="ED41" t="e">
        <f>AND(#REF!,"AAAAAG/j/4U=")</f>
        <v>#REF!</v>
      </c>
      <c r="EE41" t="e">
        <f>AND(#REF!,"AAAAAG/j/4Y=")</f>
        <v>#REF!</v>
      </c>
      <c r="EF41" t="e">
        <f>AND(#REF!,"AAAAAG/j/4c=")</f>
        <v>#REF!</v>
      </c>
      <c r="EG41" t="e">
        <f>AND(#REF!,"AAAAAG/j/4g=")</f>
        <v>#REF!</v>
      </c>
      <c r="EH41" t="e">
        <f>AND(#REF!,"AAAAAG/j/4k=")</f>
        <v>#REF!</v>
      </c>
      <c r="EI41" t="e">
        <f>AND(#REF!,"AAAAAG/j/4o=")</f>
        <v>#REF!</v>
      </c>
      <c r="EJ41" t="e">
        <f>AND(#REF!,"AAAAAG/j/4s=")</f>
        <v>#REF!</v>
      </c>
      <c r="EK41" t="e">
        <f>AND(#REF!,"AAAAAG/j/4w=")</f>
        <v>#REF!</v>
      </c>
      <c r="EL41" t="e">
        <f>AND(#REF!,"AAAAAG/j/40=")</f>
        <v>#REF!</v>
      </c>
      <c r="EM41" t="e">
        <f>AND(#REF!,"AAAAAG/j/44=")</f>
        <v>#REF!</v>
      </c>
      <c r="EN41" t="e">
        <f>AND(#REF!,"AAAAAG/j/48=")</f>
        <v>#REF!</v>
      </c>
      <c r="EO41" t="e">
        <f>AND(#REF!,"AAAAAG/j/5A=")</f>
        <v>#REF!</v>
      </c>
      <c r="EP41" t="e">
        <f>AND(#REF!,"AAAAAG/j/5E=")</f>
        <v>#REF!</v>
      </c>
      <c r="EQ41" t="e">
        <f>AND(#REF!,"AAAAAG/j/5I=")</f>
        <v>#REF!</v>
      </c>
      <c r="ER41" t="e">
        <f>IF(#REF!,"AAAAAG/j/5M=",0)</f>
        <v>#REF!</v>
      </c>
      <c r="ES41" t="e">
        <f>AND(#REF!,"AAAAAG/j/5Q=")</f>
        <v>#REF!</v>
      </c>
      <c r="ET41" t="e">
        <f>AND(#REF!,"AAAAAG/j/5U=")</f>
        <v>#REF!</v>
      </c>
      <c r="EU41" t="e">
        <f>AND(#REF!,"AAAAAG/j/5Y=")</f>
        <v>#REF!</v>
      </c>
      <c r="EV41" t="e">
        <f>AND(#REF!,"AAAAAG/j/5c=")</f>
        <v>#REF!</v>
      </c>
      <c r="EW41" t="e">
        <f>AND(#REF!,"AAAAAG/j/5g=")</f>
        <v>#REF!</v>
      </c>
      <c r="EX41" t="e">
        <f>AND(#REF!,"AAAAAG/j/5k=")</f>
        <v>#REF!</v>
      </c>
      <c r="EY41" t="e">
        <f>AND(#REF!,"AAAAAG/j/5o=")</f>
        <v>#REF!</v>
      </c>
      <c r="EZ41" t="e">
        <f>AND(#REF!,"AAAAAG/j/5s=")</f>
        <v>#REF!</v>
      </c>
      <c r="FA41" t="e">
        <f>AND(#REF!,"AAAAAG/j/5w=")</f>
        <v>#REF!</v>
      </c>
      <c r="FB41" t="e">
        <f>AND(#REF!,"AAAAAG/j/50=")</f>
        <v>#REF!</v>
      </c>
      <c r="FC41" t="e">
        <f>AND(#REF!,"AAAAAG/j/54=")</f>
        <v>#REF!</v>
      </c>
      <c r="FD41" t="e">
        <f>AND(#REF!,"AAAAAG/j/58=")</f>
        <v>#REF!</v>
      </c>
      <c r="FE41" t="e">
        <f>AND(#REF!,"AAAAAG/j/6A=")</f>
        <v>#REF!</v>
      </c>
      <c r="FF41" t="e">
        <f>AND(#REF!,"AAAAAG/j/6E=")</f>
        <v>#REF!</v>
      </c>
      <c r="FG41" t="e">
        <f>AND(#REF!,"AAAAAG/j/6I=")</f>
        <v>#REF!</v>
      </c>
      <c r="FH41" t="e">
        <f>AND(#REF!,"AAAAAG/j/6M=")</f>
        <v>#REF!</v>
      </c>
      <c r="FI41" t="e">
        <f>IF(#REF!,"AAAAAG/j/6Q=",0)</f>
        <v>#REF!</v>
      </c>
      <c r="FJ41" t="e">
        <f>AND(#REF!,"AAAAAG/j/6U=")</f>
        <v>#REF!</v>
      </c>
      <c r="FK41" t="e">
        <f>AND(#REF!,"AAAAAG/j/6Y=")</f>
        <v>#REF!</v>
      </c>
      <c r="FL41" t="e">
        <f>AND(#REF!,"AAAAAG/j/6c=")</f>
        <v>#REF!</v>
      </c>
      <c r="FM41" t="e">
        <f>AND(#REF!,"AAAAAG/j/6g=")</f>
        <v>#REF!</v>
      </c>
      <c r="FN41" t="e">
        <f>AND(#REF!,"AAAAAG/j/6k=")</f>
        <v>#REF!</v>
      </c>
      <c r="FO41" t="e">
        <f>AND(#REF!,"AAAAAG/j/6o=")</f>
        <v>#REF!</v>
      </c>
      <c r="FP41" t="e">
        <f>AND(#REF!,"AAAAAG/j/6s=")</f>
        <v>#REF!</v>
      </c>
      <c r="FQ41" t="e">
        <f>AND(#REF!,"AAAAAG/j/6w=")</f>
        <v>#REF!</v>
      </c>
      <c r="FR41" t="e">
        <f>AND(#REF!,"AAAAAG/j/60=")</f>
        <v>#REF!</v>
      </c>
      <c r="FS41" t="e">
        <f>AND(#REF!,"AAAAAG/j/64=")</f>
        <v>#REF!</v>
      </c>
      <c r="FT41" t="e">
        <f>AND(#REF!,"AAAAAG/j/68=")</f>
        <v>#REF!</v>
      </c>
      <c r="FU41" t="e">
        <f>AND(#REF!,"AAAAAG/j/7A=")</f>
        <v>#REF!</v>
      </c>
      <c r="FV41" t="e">
        <f>AND(#REF!,"AAAAAG/j/7E=")</f>
        <v>#REF!</v>
      </c>
      <c r="FW41" t="e">
        <f>AND(#REF!,"AAAAAG/j/7I=")</f>
        <v>#REF!</v>
      </c>
      <c r="FX41" t="e">
        <f>AND(#REF!,"AAAAAG/j/7M=")</f>
        <v>#REF!</v>
      </c>
      <c r="FY41" t="e">
        <f>AND(#REF!,"AAAAAG/j/7Q=")</f>
        <v>#REF!</v>
      </c>
      <c r="FZ41" t="e">
        <f>IF(#REF!,"AAAAAG/j/7U=",0)</f>
        <v>#REF!</v>
      </c>
      <c r="GA41" t="e">
        <f>AND(#REF!,"AAAAAG/j/7Y=")</f>
        <v>#REF!</v>
      </c>
      <c r="GB41" t="e">
        <f>AND(#REF!,"AAAAAG/j/7c=")</f>
        <v>#REF!</v>
      </c>
      <c r="GC41" t="e">
        <f>AND(#REF!,"AAAAAG/j/7g=")</f>
        <v>#REF!</v>
      </c>
      <c r="GD41" t="e">
        <f>AND(#REF!,"AAAAAG/j/7k=")</f>
        <v>#REF!</v>
      </c>
      <c r="GE41" t="e">
        <f>AND(#REF!,"AAAAAG/j/7o=")</f>
        <v>#REF!</v>
      </c>
      <c r="GF41" t="e">
        <f>AND(#REF!,"AAAAAG/j/7s=")</f>
        <v>#REF!</v>
      </c>
      <c r="GG41" t="e">
        <f>AND(#REF!,"AAAAAG/j/7w=")</f>
        <v>#REF!</v>
      </c>
      <c r="GH41" t="e">
        <f>AND(#REF!,"AAAAAG/j/70=")</f>
        <v>#REF!</v>
      </c>
      <c r="GI41" t="e">
        <f>AND(#REF!,"AAAAAG/j/74=")</f>
        <v>#REF!</v>
      </c>
      <c r="GJ41" t="e">
        <f>AND(#REF!,"AAAAAG/j/78=")</f>
        <v>#REF!</v>
      </c>
      <c r="GK41" t="e">
        <f>AND(#REF!,"AAAAAG/j/8A=")</f>
        <v>#REF!</v>
      </c>
      <c r="GL41" t="e">
        <f>AND(#REF!,"AAAAAG/j/8E=")</f>
        <v>#REF!</v>
      </c>
      <c r="GM41" t="e">
        <f>AND(#REF!,"AAAAAG/j/8I=")</f>
        <v>#REF!</v>
      </c>
      <c r="GN41" t="e">
        <f>AND(#REF!,"AAAAAG/j/8M=")</f>
        <v>#REF!</v>
      </c>
      <c r="GO41" t="e">
        <f>AND(#REF!,"AAAAAG/j/8Q=")</f>
        <v>#REF!</v>
      </c>
      <c r="GP41" t="e">
        <f>AND(#REF!,"AAAAAG/j/8U=")</f>
        <v>#REF!</v>
      </c>
      <c r="GQ41" t="e">
        <f>IF(#REF!,"AAAAAG/j/8Y=",0)</f>
        <v>#REF!</v>
      </c>
      <c r="GR41" t="e">
        <f>AND(#REF!,"AAAAAG/j/8c=")</f>
        <v>#REF!</v>
      </c>
      <c r="GS41" t="e">
        <f>AND(#REF!,"AAAAAG/j/8g=")</f>
        <v>#REF!</v>
      </c>
      <c r="GT41" t="e">
        <f>AND(#REF!,"AAAAAG/j/8k=")</f>
        <v>#REF!</v>
      </c>
      <c r="GU41" t="e">
        <f>AND(#REF!,"AAAAAG/j/8o=")</f>
        <v>#REF!</v>
      </c>
      <c r="GV41" t="e">
        <f>AND(#REF!,"AAAAAG/j/8s=")</f>
        <v>#REF!</v>
      </c>
      <c r="GW41" t="e">
        <f>AND(#REF!,"AAAAAG/j/8w=")</f>
        <v>#REF!</v>
      </c>
      <c r="GX41" t="e">
        <f>AND(#REF!,"AAAAAG/j/80=")</f>
        <v>#REF!</v>
      </c>
      <c r="GY41" t="e">
        <f>AND(#REF!,"AAAAAG/j/84=")</f>
        <v>#REF!</v>
      </c>
      <c r="GZ41" t="e">
        <f>AND(#REF!,"AAAAAG/j/88=")</f>
        <v>#REF!</v>
      </c>
      <c r="HA41" t="e">
        <f>AND(#REF!,"AAAAAG/j/9A=")</f>
        <v>#REF!</v>
      </c>
      <c r="HB41" t="e">
        <f>AND(#REF!,"AAAAAG/j/9E=")</f>
        <v>#REF!</v>
      </c>
      <c r="HC41" t="e">
        <f>AND(#REF!,"AAAAAG/j/9I=")</f>
        <v>#REF!</v>
      </c>
      <c r="HD41" t="e">
        <f>AND(#REF!,"AAAAAG/j/9M=")</f>
        <v>#REF!</v>
      </c>
      <c r="HE41" t="e">
        <f>AND(#REF!,"AAAAAG/j/9Q=")</f>
        <v>#REF!</v>
      </c>
      <c r="HF41" t="e">
        <f>AND(#REF!,"AAAAAG/j/9U=")</f>
        <v>#REF!</v>
      </c>
      <c r="HG41" t="e">
        <f>AND(#REF!,"AAAAAG/j/9Y=")</f>
        <v>#REF!</v>
      </c>
      <c r="HH41" t="e">
        <f>IF(#REF!,"AAAAAG/j/9c=",0)</f>
        <v>#REF!</v>
      </c>
      <c r="HI41" t="e">
        <f>AND(#REF!,"AAAAAG/j/9g=")</f>
        <v>#REF!</v>
      </c>
      <c r="HJ41" t="e">
        <f>AND(#REF!,"AAAAAG/j/9k=")</f>
        <v>#REF!</v>
      </c>
      <c r="HK41" t="e">
        <f>AND(#REF!,"AAAAAG/j/9o=")</f>
        <v>#REF!</v>
      </c>
      <c r="HL41" t="e">
        <f>AND(#REF!,"AAAAAG/j/9s=")</f>
        <v>#REF!</v>
      </c>
      <c r="HM41" t="e">
        <f>AND(#REF!,"AAAAAG/j/9w=")</f>
        <v>#REF!</v>
      </c>
      <c r="HN41" t="e">
        <f>AND(#REF!,"AAAAAG/j/90=")</f>
        <v>#REF!</v>
      </c>
      <c r="HO41" t="e">
        <f>AND(#REF!,"AAAAAG/j/94=")</f>
        <v>#REF!</v>
      </c>
      <c r="HP41" t="e">
        <f>AND(#REF!,"AAAAAG/j/98=")</f>
        <v>#REF!</v>
      </c>
      <c r="HQ41" t="e">
        <f>AND(#REF!,"AAAAAG/j/+A=")</f>
        <v>#REF!</v>
      </c>
      <c r="HR41" t="e">
        <f>AND(#REF!,"AAAAAG/j/+E=")</f>
        <v>#REF!</v>
      </c>
      <c r="HS41" t="e">
        <f>AND(#REF!,"AAAAAG/j/+I=")</f>
        <v>#REF!</v>
      </c>
      <c r="HT41" t="e">
        <f>AND(#REF!,"AAAAAG/j/+M=")</f>
        <v>#REF!</v>
      </c>
      <c r="HU41" t="e">
        <f>AND(#REF!,"AAAAAG/j/+Q=")</f>
        <v>#REF!</v>
      </c>
      <c r="HV41" t="e">
        <f>AND(#REF!,"AAAAAG/j/+U=")</f>
        <v>#REF!</v>
      </c>
      <c r="HW41" t="e">
        <f>AND(#REF!,"AAAAAG/j/+Y=")</f>
        <v>#REF!</v>
      </c>
      <c r="HX41" t="e">
        <f>AND(#REF!,"AAAAAG/j/+c=")</f>
        <v>#REF!</v>
      </c>
      <c r="HY41" t="e">
        <f>IF(#REF!,"AAAAAG/j/+g=",0)</f>
        <v>#REF!</v>
      </c>
      <c r="HZ41" t="e">
        <f>AND(#REF!,"AAAAAG/j/+k=")</f>
        <v>#REF!</v>
      </c>
      <c r="IA41" t="e">
        <f>AND(#REF!,"AAAAAG/j/+o=")</f>
        <v>#REF!</v>
      </c>
      <c r="IB41" t="e">
        <f>AND(#REF!,"AAAAAG/j/+s=")</f>
        <v>#REF!</v>
      </c>
      <c r="IC41" t="e">
        <f>AND(#REF!,"AAAAAG/j/+w=")</f>
        <v>#REF!</v>
      </c>
      <c r="ID41" t="e">
        <f>AND(#REF!,"AAAAAG/j/+0=")</f>
        <v>#REF!</v>
      </c>
      <c r="IE41" t="e">
        <f>AND(#REF!,"AAAAAG/j/+4=")</f>
        <v>#REF!</v>
      </c>
      <c r="IF41" t="e">
        <f>AND(#REF!,"AAAAAG/j/+8=")</f>
        <v>#REF!</v>
      </c>
      <c r="IG41" t="e">
        <f>AND(#REF!,"AAAAAG/j//A=")</f>
        <v>#REF!</v>
      </c>
      <c r="IH41" t="e">
        <f>AND(#REF!,"AAAAAG/j//E=")</f>
        <v>#REF!</v>
      </c>
      <c r="II41" t="e">
        <f>AND(#REF!,"AAAAAG/j//I=")</f>
        <v>#REF!</v>
      </c>
      <c r="IJ41" t="e">
        <f>AND(#REF!,"AAAAAG/j//M=")</f>
        <v>#REF!</v>
      </c>
      <c r="IK41" t="e">
        <f>AND(#REF!,"AAAAAG/j//Q=")</f>
        <v>#REF!</v>
      </c>
      <c r="IL41" t="e">
        <f>AND(#REF!,"AAAAAG/j//U=")</f>
        <v>#REF!</v>
      </c>
      <c r="IM41" t="e">
        <f>AND(#REF!,"AAAAAG/j//Y=")</f>
        <v>#REF!</v>
      </c>
      <c r="IN41" t="e">
        <f>AND(#REF!,"AAAAAG/j//c=")</f>
        <v>#REF!</v>
      </c>
      <c r="IO41" t="e">
        <f>AND(#REF!,"AAAAAG/j//g=")</f>
        <v>#REF!</v>
      </c>
      <c r="IP41" t="e">
        <f>IF(#REF!,"AAAAAG/j//k=",0)</f>
        <v>#REF!</v>
      </c>
      <c r="IQ41" t="e">
        <f>AND(#REF!,"AAAAAG/j//o=")</f>
        <v>#REF!</v>
      </c>
      <c r="IR41" t="e">
        <f>AND(#REF!,"AAAAAG/j//s=")</f>
        <v>#REF!</v>
      </c>
      <c r="IS41" t="e">
        <f>AND(#REF!,"AAAAAG/j//w=")</f>
        <v>#REF!</v>
      </c>
      <c r="IT41" t="e">
        <f>AND(#REF!,"AAAAAG/j//0=")</f>
        <v>#REF!</v>
      </c>
      <c r="IU41" t="e">
        <f>AND(#REF!,"AAAAAG/j//4=")</f>
        <v>#REF!</v>
      </c>
      <c r="IV41" t="e">
        <f>AND(#REF!,"AAAAAG/j//8=")</f>
        <v>#REF!</v>
      </c>
    </row>
    <row r="42" spans="1:256">
      <c r="A42" t="e">
        <f>AND(#REF!,"AAAAAB7vpgA=")</f>
        <v>#REF!</v>
      </c>
      <c r="B42" t="e">
        <f>AND(#REF!,"AAAAAB7vpgE=")</f>
        <v>#REF!</v>
      </c>
      <c r="C42" t="e">
        <f>AND(#REF!,"AAAAAB7vpgI=")</f>
        <v>#REF!</v>
      </c>
      <c r="D42" t="e">
        <f>AND(#REF!,"AAAAAB7vpgM=")</f>
        <v>#REF!</v>
      </c>
      <c r="E42" t="e">
        <f>AND(#REF!,"AAAAAB7vpgQ=")</f>
        <v>#REF!</v>
      </c>
      <c r="F42" t="e">
        <f>AND(#REF!,"AAAAAB7vpgU=")</f>
        <v>#REF!</v>
      </c>
      <c r="G42" t="e">
        <f>AND(#REF!,"AAAAAB7vpgY=")</f>
        <v>#REF!</v>
      </c>
      <c r="H42" t="e">
        <f>AND(#REF!,"AAAAAB7vpgc=")</f>
        <v>#REF!</v>
      </c>
      <c r="I42" t="e">
        <f>AND(#REF!,"AAAAAB7vpgg=")</f>
        <v>#REF!</v>
      </c>
      <c r="J42" t="e">
        <f>AND(#REF!,"AAAAAB7vpgk=")</f>
        <v>#REF!</v>
      </c>
      <c r="K42" t="e">
        <f>IF(#REF!,"AAAAAB7vpgo=",0)</f>
        <v>#REF!</v>
      </c>
      <c r="L42" t="e">
        <f>AND(#REF!,"AAAAAB7vpgs=")</f>
        <v>#REF!</v>
      </c>
      <c r="M42" t="e">
        <f>AND(#REF!,"AAAAAB7vpgw=")</f>
        <v>#REF!</v>
      </c>
      <c r="N42" t="e">
        <f>AND(#REF!,"AAAAAB7vpg0=")</f>
        <v>#REF!</v>
      </c>
      <c r="O42" t="e">
        <f>AND(#REF!,"AAAAAB7vpg4=")</f>
        <v>#REF!</v>
      </c>
      <c r="P42" t="e">
        <f>AND(#REF!,"AAAAAB7vpg8=")</f>
        <v>#REF!</v>
      </c>
      <c r="Q42" t="e">
        <f>AND(#REF!,"AAAAAB7vphA=")</f>
        <v>#REF!</v>
      </c>
      <c r="R42" t="e">
        <f>AND(#REF!,"AAAAAB7vphE=")</f>
        <v>#REF!</v>
      </c>
      <c r="S42" t="e">
        <f>AND(#REF!,"AAAAAB7vphI=")</f>
        <v>#REF!</v>
      </c>
      <c r="T42" t="e">
        <f>AND(#REF!,"AAAAAB7vphM=")</f>
        <v>#REF!</v>
      </c>
      <c r="U42" t="e">
        <f>AND(#REF!,"AAAAAB7vphQ=")</f>
        <v>#REF!</v>
      </c>
      <c r="V42" t="e">
        <f>AND(#REF!,"AAAAAB7vphU=")</f>
        <v>#REF!</v>
      </c>
      <c r="W42" t="e">
        <f>AND(#REF!,"AAAAAB7vphY=")</f>
        <v>#REF!</v>
      </c>
      <c r="X42" t="e">
        <f>AND(#REF!,"AAAAAB7vphc=")</f>
        <v>#REF!</v>
      </c>
      <c r="Y42" t="e">
        <f>AND(#REF!,"AAAAAB7vphg=")</f>
        <v>#REF!</v>
      </c>
      <c r="Z42" t="e">
        <f>AND(#REF!,"AAAAAB7vphk=")</f>
        <v>#REF!</v>
      </c>
      <c r="AA42" t="e">
        <f>AND(#REF!,"AAAAAB7vpho=")</f>
        <v>#REF!</v>
      </c>
      <c r="AB42" t="e">
        <f>IF(#REF!,"AAAAAB7vphs=",0)</f>
        <v>#REF!</v>
      </c>
      <c r="AC42" t="e">
        <f>AND(#REF!,"AAAAAB7vphw=")</f>
        <v>#REF!</v>
      </c>
      <c r="AD42" t="e">
        <f>AND(#REF!,"AAAAAB7vph0=")</f>
        <v>#REF!</v>
      </c>
      <c r="AE42" t="e">
        <f>AND(#REF!,"AAAAAB7vph4=")</f>
        <v>#REF!</v>
      </c>
      <c r="AF42" t="e">
        <f>AND(#REF!,"AAAAAB7vph8=")</f>
        <v>#REF!</v>
      </c>
      <c r="AG42" t="e">
        <f>AND(#REF!,"AAAAAB7vpiA=")</f>
        <v>#REF!</v>
      </c>
      <c r="AH42" t="e">
        <f>AND(#REF!,"AAAAAB7vpiE=")</f>
        <v>#REF!</v>
      </c>
      <c r="AI42" t="e">
        <f>AND(#REF!,"AAAAAB7vpiI=")</f>
        <v>#REF!</v>
      </c>
      <c r="AJ42" t="e">
        <f>AND(#REF!,"AAAAAB7vpiM=")</f>
        <v>#REF!</v>
      </c>
      <c r="AK42" t="e">
        <f>AND(#REF!,"AAAAAB7vpiQ=")</f>
        <v>#REF!</v>
      </c>
      <c r="AL42" t="e">
        <f>AND(#REF!,"AAAAAB7vpiU=")</f>
        <v>#REF!</v>
      </c>
      <c r="AM42" t="e">
        <f>AND(#REF!,"AAAAAB7vpiY=")</f>
        <v>#REF!</v>
      </c>
      <c r="AN42" t="e">
        <f>AND(#REF!,"AAAAAB7vpic=")</f>
        <v>#REF!</v>
      </c>
      <c r="AO42" t="e">
        <f>AND(#REF!,"AAAAAB7vpig=")</f>
        <v>#REF!</v>
      </c>
      <c r="AP42" t="e">
        <f>AND(#REF!,"AAAAAB7vpik=")</f>
        <v>#REF!</v>
      </c>
      <c r="AQ42" t="e">
        <f>AND(#REF!,"AAAAAB7vpio=")</f>
        <v>#REF!</v>
      </c>
      <c r="AR42" t="e">
        <f>AND(#REF!,"AAAAAB7vpis=")</f>
        <v>#REF!</v>
      </c>
      <c r="AS42" t="e">
        <f>IF(#REF!,"AAAAAB7vpiw=",0)</f>
        <v>#REF!</v>
      </c>
      <c r="AT42" t="e">
        <f>AND(#REF!,"AAAAAB7vpi0=")</f>
        <v>#REF!</v>
      </c>
      <c r="AU42" t="e">
        <f>AND(#REF!,"AAAAAB7vpi4=")</f>
        <v>#REF!</v>
      </c>
      <c r="AV42" t="e">
        <f>AND(#REF!,"AAAAAB7vpi8=")</f>
        <v>#REF!</v>
      </c>
      <c r="AW42" t="e">
        <f>AND(#REF!,"AAAAAB7vpjA=")</f>
        <v>#REF!</v>
      </c>
      <c r="AX42" t="e">
        <f>AND(#REF!,"AAAAAB7vpjE=")</f>
        <v>#REF!</v>
      </c>
      <c r="AY42" t="e">
        <f>AND(#REF!,"AAAAAB7vpjI=")</f>
        <v>#REF!</v>
      </c>
      <c r="AZ42" t="e">
        <f>AND(#REF!,"AAAAAB7vpjM=")</f>
        <v>#REF!</v>
      </c>
      <c r="BA42" t="e">
        <f>AND(#REF!,"AAAAAB7vpjQ=")</f>
        <v>#REF!</v>
      </c>
      <c r="BB42" t="e">
        <f>AND(#REF!,"AAAAAB7vpjU=")</f>
        <v>#REF!</v>
      </c>
      <c r="BC42" t="e">
        <f>AND(#REF!,"AAAAAB7vpjY=")</f>
        <v>#REF!</v>
      </c>
      <c r="BD42" t="e">
        <f>AND(#REF!,"AAAAAB7vpjc=")</f>
        <v>#REF!</v>
      </c>
      <c r="BE42" t="e">
        <f>AND(#REF!,"AAAAAB7vpjg=")</f>
        <v>#REF!</v>
      </c>
      <c r="BF42" t="e">
        <f>AND(#REF!,"AAAAAB7vpjk=")</f>
        <v>#REF!</v>
      </c>
      <c r="BG42" t="e">
        <f>AND(#REF!,"AAAAAB7vpjo=")</f>
        <v>#REF!</v>
      </c>
      <c r="BH42" t="e">
        <f>AND(#REF!,"AAAAAB7vpjs=")</f>
        <v>#REF!</v>
      </c>
      <c r="BI42" t="e">
        <f>AND(#REF!,"AAAAAB7vpjw=")</f>
        <v>#REF!</v>
      </c>
      <c r="BJ42" t="e">
        <f>IF(#REF!,"AAAAAB7vpj0=",0)</f>
        <v>#REF!</v>
      </c>
      <c r="BK42" t="e">
        <f>AND(#REF!,"AAAAAB7vpj4=")</f>
        <v>#REF!</v>
      </c>
      <c r="BL42" t="e">
        <f>AND(#REF!,"AAAAAB7vpj8=")</f>
        <v>#REF!</v>
      </c>
      <c r="BM42" t="e">
        <f>AND(#REF!,"AAAAAB7vpkA=")</f>
        <v>#REF!</v>
      </c>
      <c r="BN42" t="e">
        <f>AND(#REF!,"AAAAAB7vpkE=")</f>
        <v>#REF!</v>
      </c>
      <c r="BO42" t="e">
        <f>AND(#REF!,"AAAAAB7vpkI=")</f>
        <v>#REF!</v>
      </c>
      <c r="BP42" t="e">
        <f>AND(#REF!,"AAAAAB7vpkM=")</f>
        <v>#REF!</v>
      </c>
      <c r="BQ42" t="e">
        <f>AND(#REF!,"AAAAAB7vpkQ=")</f>
        <v>#REF!</v>
      </c>
      <c r="BR42" t="e">
        <f>AND(#REF!,"AAAAAB7vpkU=")</f>
        <v>#REF!</v>
      </c>
      <c r="BS42" t="e">
        <f>AND(#REF!,"AAAAAB7vpkY=")</f>
        <v>#REF!</v>
      </c>
      <c r="BT42" t="e">
        <f>AND(#REF!,"AAAAAB7vpkc=")</f>
        <v>#REF!</v>
      </c>
      <c r="BU42" t="e">
        <f>AND(#REF!,"AAAAAB7vpkg=")</f>
        <v>#REF!</v>
      </c>
      <c r="BV42" t="e">
        <f>AND(#REF!,"AAAAAB7vpkk=")</f>
        <v>#REF!</v>
      </c>
      <c r="BW42" t="e">
        <f>AND(#REF!,"AAAAAB7vpko=")</f>
        <v>#REF!</v>
      </c>
      <c r="BX42" t="e">
        <f>AND(#REF!,"AAAAAB7vpks=")</f>
        <v>#REF!</v>
      </c>
      <c r="BY42" t="e">
        <f>AND(#REF!,"AAAAAB7vpkw=")</f>
        <v>#REF!</v>
      </c>
      <c r="BZ42" t="e">
        <f>AND(#REF!,"AAAAAB7vpk0=")</f>
        <v>#REF!</v>
      </c>
      <c r="CA42" t="e">
        <f>IF(#REF!,"AAAAAB7vpk4=",0)</f>
        <v>#REF!</v>
      </c>
      <c r="CB42" t="e">
        <f>AND(#REF!,"AAAAAB7vpk8=")</f>
        <v>#REF!</v>
      </c>
      <c r="CC42" t="e">
        <f>AND(#REF!,"AAAAAB7vplA=")</f>
        <v>#REF!</v>
      </c>
      <c r="CD42" t="e">
        <f>AND(#REF!,"AAAAAB7vplE=")</f>
        <v>#REF!</v>
      </c>
      <c r="CE42" t="e">
        <f>AND(#REF!,"AAAAAB7vplI=")</f>
        <v>#REF!</v>
      </c>
      <c r="CF42" t="e">
        <f>AND(#REF!,"AAAAAB7vplM=")</f>
        <v>#REF!</v>
      </c>
      <c r="CG42" t="e">
        <f>AND(#REF!,"AAAAAB7vplQ=")</f>
        <v>#REF!</v>
      </c>
      <c r="CH42" t="e">
        <f>AND(#REF!,"AAAAAB7vplU=")</f>
        <v>#REF!</v>
      </c>
      <c r="CI42" t="e">
        <f>AND(#REF!,"AAAAAB7vplY=")</f>
        <v>#REF!</v>
      </c>
      <c r="CJ42" t="e">
        <f>AND(#REF!,"AAAAAB7vplc=")</f>
        <v>#REF!</v>
      </c>
      <c r="CK42" t="e">
        <f>AND(#REF!,"AAAAAB7vplg=")</f>
        <v>#REF!</v>
      </c>
      <c r="CL42" t="e">
        <f>AND(#REF!,"AAAAAB7vplk=")</f>
        <v>#REF!</v>
      </c>
      <c r="CM42" t="e">
        <f>AND(#REF!,"AAAAAB7vplo=")</f>
        <v>#REF!</v>
      </c>
      <c r="CN42" t="e">
        <f>AND(#REF!,"AAAAAB7vpls=")</f>
        <v>#REF!</v>
      </c>
      <c r="CO42" t="e">
        <f>AND(#REF!,"AAAAAB7vplw=")</f>
        <v>#REF!</v>
      </c>
      <c r="CP42" t="e">
        <f>AND(#REF!,"AAAAAB7vpl0=")</f>
        <v>#REF!</v>
      </c>
      <c r="CQ42" t="e">
        <f>AND(#REF!,"AAAAAB7vpl4=")</f>
        <v>#REF!</v>
      </c>
      <c r="CR42" t="e">
        <f>IF(#REF!,"AAAAAB7vpl8=",0)</f>
        <v>#REF!</v>
      </c>
      <c r="CS42" t="e">
        <f>AND(#REF!,"AAAAAB7vpmA=")</f>
        <v>#REF!</v>
      </c>
      <c r="CT42" t="e">
        <f>AND(#REF!,"AAAAAB7vpmE=")</f>
        <v>#REF!</v>
      </c>
      <c r="CU42" t="e">
        <f>AND(#REF!,"AAAAAB7vpmI=")</f>
        <v>#REF!</v>
      </c>
      <c r="CV42" t="e">
        <f>AND(#REF!,"AAAAAB7vpmM=")</f>
        <v>#REF!</v>
      </c>
      <c r="CW42" t="e">
        <f>AND(#REF!,"AAAAAB7vpmQ=")</f>
        <v>#REF!</v>
      </c>
      <c r="CX42" t="e">
        <f>AND(#REF!,"AAAAAB7vpmU=")</f>
        <v>#REF!</v>
      </c>
      <c r="CY42" t="e">
        <f>AND(#REF!,"AAAAAB7vpmY=")</f>
        <v>#REF!</v>
      </c>
      <c r="CZ42" t="e">
        <f>AND(#REF!,"AAAAAB7vpmc=")</f>
        <v>#REF!</v>
      </c>
      <c r="DA42" t="e">
        <f>AND(#REF!,"AAAAAB7vpmg=")</f>
        <v>#REF!</v>
      </c>
      <c r="DB42" t="e">
        <f>AND(#REF!,"AAAAAB7vpmk=")</f>
        <v>#REF!</v>
      </c>
      <c r="DC42" t="e">
        <f>AND(#REF!,"AAAAAB7vpmo=")</f>
        <v>#REF!</v>
      </c>
      <c r="DD42" t="e">
        <f>AND(#REF!,"AAAAAB7vpms=")</f>
        <v>#REF!</v>
      </c>
      <c r="DE42" t="e">
        <f>AND(#REF!,"AAAAAB7vpmw=")</f>
        <v>#REF!</v>
      </c>
      <c r="DF42" t="e">
        <f>AND(#REF!,"AAAAAB7vpm0=")</f>
        <v>#REF!</v>
      </c>
      <c r="DG42" t="e">
        <f>AND(#REF!,"AAAAAB7vpm4=")</f>
        <v>#REF!</v>
      </c>
      <c r="DH42" t="e">
        <f>AND(#REF!,"AAAAAB7vpm8=")</f>
        <v>#REF!</v>
      </c>
      <c r="DI42" t="e">
        <f>IF(#REF!,"AAAAAB7vpnA=",0)</f>
        <v>#REF!</v>
      </c>
      <c r="DJ42" t="e">
        <f>AND(#REF!,"AAAAAB7vpnE=")</f>
        <v>#REF!</v>
      </c>
      <c r="DK42" t="e">
        <f>AND(#REF!,"AAAAAB7vpnI=")</f>
        <v>#REF!</v>
      </c>
      <c r="DL42" t="e">
        <f>AND(#REF!,"AAAAAB7vpnM=")</f>
        <v>#REF!</v>
      </c>
      <c r="DM42" t="e">
        <f>AND(#REF!,"AAAAAB7vpnQ=")</f>
        <v>#REF!</v>
      </c>
      <c r="DN42" t="e">
        <f>AND(#REF!,"AAAAAB7vpnU=")</f>
        <v>#REF!</v>
      </c>
      <c r="DO42" t="e">
        <f>AND(#REF!,"AAAAAB7vpnY=")</f>
        <v>#REF!</v>
      </c>
      <c r="DP42" t="e">
        <f>AND(#REF!,"AAAAAB7vpnc=")</f>
        <v>#REF!</v>
      </c>
      <c r="DQ42" t="e">
        <f>AND(#REF!,"AAAAAB7vpng=")</f>
        <v>#REF!</v>
      </c>
      <c r="DR42" t="e">
        <f>AND(#REF!,"AAAAAB7vpnk=")</f>
        <v>#REF!</v>
      </c>
      <c r="DS42" t="e">
        <f>AND(#REF!,"AAAAAB7vpno=")</f>
        <v>#REF!</v>
      </c>
      <c r="DT42" t="e">
        <f>AND(#REF!,"AAAAAB7vpns=")</f>
        <v>#REF!</v>
      </c>
      <c r="DU42" t="e">
        <f>AND(#REF!,"AAAAAB7vpnw=")</f>
        <v>#REF!</v>
      </c>
      <c r="DV42" t="e">
        <f>AND(#REF!,"AAAAAB7vpn0=")</f>
        <v>#REF!</v>
      </c>
      <c r="DW42" t="e">
        <f>AND(#REF!,"AAAAAB7vpn4=")</f>
        <v>#REF!</v>
      </c>
      <c r="DX42" t="e">
        <f>AND(#REF!,"AAAAAB7vpn8=")</f>
        <v>#REF!</v>
      </c>
      <c r="DY42" t="e">
        <f>AND(#REF!,"AAAAAB7vpoA=")</f>
        <v>#REF!</v>
      </c>
      <c r="DZ42" t="e">
        <f>IF(#REF!,"AAAAAB7vpoE=",0)</f>
        <v>#REF!</v>
      </c>
      <c r="EA42" t="e">
        <f>AND(#REF!,"AAAAAB7vpoI=")</f>
        <v>#REF!</v>
      </c>
      <c r="EB42" t="e">
        <f>AND(#REF!,"AAAAAB7vpoM=")</f>
        <v>#REF!</v>
      </c>
      <c r="EC42" t="e">
        <f>AND(#REF!,"AAAAAB7vpoQ=")</f>
        <v>#REF!</v>
      </c>
      <c r="ED42" t="e">
        <f>AND(#REF!,"AAAAAB7vpoU=")</f>
        <v>#REF!</v>
      </c>
      <c r="EE42" t="e">
        <f>AND(#REF!,"AAAAAB7vpoY=")</f>
        <v>#REF!</v>
      </c>
      <c r="EF42" t="e">
        <f>AND(#REF!,"AAAAAB7vpoc=")</f>
        <v>#REF!</v>
      </c>
      <c r="EG42" t="e">
        <f>AND(#REF!,"AAAAAB7vpog=")</f>
        <v>#REF!</v>
      </c>
      <c r="EH42" t="e">
        <f>AND(#REF!,"AAAAAB7vpok=")</f>
        <v>#REF!</v>
      </c>
      <c r="EI42" t="e">
        <f>AND(#REF!,"AAAAAB7vpoo=")</f>
        <v>#REF!</v>
      </c>
      <c r="EJ42" t="e">
        <f>AND(#REF!,"AAAAAB7vpos=")</f>
        <v>#REF!</v>
      </c>
      <c r="EK42" t="e">
        <f>AND(#REF!,"AAAAAB7vpow=")</f>
        <v>#REF!</v>
      </c>
      <c r="EL42" t="e">
        <f>AND(#REF!,"AAAAAB7vpo0=")</f>
        <v>#REF!</v>
      </c>
      <c r="EM42" t="e">
        <f>AND(#REF!,"AAAAAB7vpo4=")</f>
        <v>#REF!</v>
      </c>
      <c r="EN42" t="e">
        <f>AND(#REF!,"AAAAAB7vpo8=")</f>
        <v>#REF!</v>
      </c>
      <c r="EO42" t="e">
        <f>AND(#REF!,"AAAAAB7vppA=")</f>
        <v>#REF!</v>
      </c>
      <c r="EP42" t="e">
        <f>AND(#REF!,"AAAAAB7vppE=")</f>
        <v>#REF!</v>
      </c>
      <c r="EQ42" t="e">
        <f>IF(#REF!,"AAAAAB7vppI=",0)</f>
        <v>#REF!</v>
      </c>
      <c r="ER42" t="e">
        <f>AND(#REF!,"AAAAAB7vppM=")</f>
        <v>#REF!</v>
      </c>
      <c r="ES42" t="e">
        <f>AND(#REF!,"AAAAAB7vppQ=")</f>
        <v>#REF!</v>
      </c>
      <c r="ET42" t="e">
        <f>AND(#REF!,"AAAAAB7vppU=")</f>
        <v>#REF!</v>
      </c>
      <c r="EU42" t="e">
        <f>AND(#REF!,"AAAAAB7vppY=")</f>
        <v>#REF!</v>
      </c>
      <c r="EV42" t="e">
        <f>AND(#REF!,"AAAAAB7vppc=")</f>
        <v>#REF!</v>
      </c>
      <c r="EW42" t="e">
        <f>AND(#REF!,"AAAAAB7vppg=")</f>
        <v>#REF!</v>
      </c>
      <c r="EX42" t="e">
        <f>AND(#REF!,"AAAAAB7vppk=")</f>
        <v>#REF!</v>
      </c>
      <c r="EY42" t="e">
        <f>AND(#REF!,"AAAAAB7vppo=")</f>
        <v>#REF!</v>
      </c>
      <c r="EZ42" t="e">
        <f>AND(#REF!,"AAAAAB7vpps=")</f>
        <v>#REF!</v>
      </c>
      <c r="FA42" t="e">
        <f>AND(#REF!,"AAAAAB7vppw=")</f>
        <v>#REF!</v>
      </c>
      <c r="FB42" t="e">
        <f>AND(#REF!,"AAAAAB7vpp0=")</f>
        <v>#REF!</v>
      </c>
      <c r="FC42" t="e">
        <f>AND(#REF!,"AAAAAB7vpp4=")</f>
        <v>#REF!</v>
      </c>
      <c r="FD42" t="e">
        <f>AND(#REF!,"AAAAAB7vpp8=")</f>
        <v>#REF!</v>
      </c>
      <c r="FE42" t="e">
        <f>AND(#REF!,"AAAAAB7vpqA=")</f>
        <v>#REF!</v>
      </c>
      <c r="FF42" t="e">
        <f>AND(#REF!,"AAAAAB7vpqE=")</f>
        <v>#REF!</v>
      </c>
      <c r="FG42" t="e">
        <f>AND(#REF!,"AAAAAB7vpqI=")</f>
        <v>#REF!</v>
      </c>
      <c r="FH42" t="e">
        <f>IF(#REF!,"AAAAAB7vpqM=",0)</f>
        <v>#REF!</v>
      </c>
      <c r="FI42" t="e">
        <f>AND(#REF!,"AAAAAB7vpqQ=")</f>
        <v>#REF!</v>
      </c>
      <c r="FJ42" t="e">
        <f>AND(#REF!,"AAAAAB7vpqU=")</f>
        <v>#REF!</v>
      </c>
      <c r="FK42" t="e">
        <f>AND(#REF!,"AAAAAB7vpqY=")</f>
        <v>#REF!</v>
      </c>
      <c r="FL42" t="e">
        <f>AND(#REF!,"AAAAAB7vpqc=")</f>
        <v>#REF!</v>
      </c>
      <c r="FM42" t="e">
        <f>AND(#REF!,"AAAAAB7vpqg=")</f>
        <v>#REF!</v>
      </c>
      <c r="FN42" t="e">
        <f>AND(#REF!,"AAAAAB7vpqk=")</f>
        <v>#REF!</v>
      </c>
      <c r="FO42" t="e">
        <f>AND(#REF!,"AAAAAB7vpqo=")</f>
        <v>#REF!</v>
      </c>
      <c r="FP42" t="e">
        <f>AND(#REF!,"AAAAAB7vpqs=")</f>
        <v>#REF!</v>
      </c>
      <c r="FQ42" t="e">
        <f>AND(#REF!,"AAAAAB7vpqw=")</f>
        <v>#REF!</v>
      </c>
      <c r="FR42" t="e">
        <f>AND(#REF!,"AAAAAB7vpq0=")</f>
        <v>#REF!</v>
      </c>
      <c r="FS42" t="e">
        <f>AND(#REF!,"AAAAAB7vpq4=")</f>
        <v>#REF!</v>
      </c>
      <c r="FT42" t="e">
        <f>AND(#REF!,"AAAAAB7vpq8=")</f>
        <v>#REF!</v>
      </c>
      <c r="FU42" t="e">
        <f>AND(#REF!,"AAAAAB7vprA=")</f>
        <v>#REF!</v>
      </c>
      <c r="FV42" t="e">
        <f>AND(#REF!,"AAAAAB7vprE=")</f>
        <v>#REF!</v>
      </c>
      <c r="FW42" t="e">
        <f>AND(#REF!,"AAAAAB7vprI=")</f>
        <v>#REF!</v>
      </c>
      <c r="FX42" t="e">
        <f>AND(#REF!,"AAAAAB7vprM=")</f>
        <v>#REF!</v>
      </c>
      <c r="FY42" t="e">
        <f>IF(#REF!,"AAAAAB7vprQ=",0)</f>
        <v>#REF!</v>
      </c>
      <c r="FZ42" t="e">
        <f>AND(#REF!,"AAAAAB7vprU=")</f>
        <v>#REF!</v>
      </c>
      <c r="GA42" t="e">
        <f>AND(#REF!,"AAAAAB7vprY=")</f>
        <v>#REF!</v>
      </c>
      <c r="GB42" t="e">
        <f>AND(#REF!,"AAAAAB7vprc=")</f>
        <v>#REF!</v>
      </c>
      <c r="GC42" t="e">
        <f>AND(#REF!,"AAAAAB7vprg=")</f>
        <v>#REF!</v>
      </c>
      <c r="GD42" t="e">
        <f>AND(#REF!,"AAAAAB7vprk=")</f>
        <v>#REF!</v>
      </c>
      <c r="GE42" t="e">
        <f>AND(#REF!,"AAAAAB7vpro=")</f>
        <v>#REF!</v>
      </c>
      <c r="GF42" t="e">
        <f>AND(#REF!,"AAAAAB7vprs=")</f>
        <v>#REF!</v>
      </c>
      <c r="GG42" t="e">
        <f>AND(#REF!,"AAAAAB7vprw=")</f>
        <v>#REF!</v>
      </c>
      <c r="GH42" t="e">
        <f>AND(#REF!,"AAAAAB7vpr0=")</f>
        <v>#REF!</v>
      </c>
      <c r="GI42" t="e">
        <f>AND(#REF!,"AAAAAB7vpr4=")</f>
        <v>#REF!</v>
      </c>
      <c r="GJ42" t="e">
        <f>AND(#REF!,"AAAAAB7vpr8=")</f>
        <v>#REF!</v>
      </c>
      <c r="GK42" t="e">
        <f>AND(#REF!,"AAAAAB7vpsA=")</f>
        <v>#REF!</v>
      </c>
      <c r="GL42" t="e">
        <f>AND(#REF!,"AAAAAB7vpsE=")</f>
        <v>#REF!</v>
      </c>
      <c r="GM42" t="e">
        <f>AND(#REF!,"AAAAAB7vpsI=")</f>
        <v>#REF!</v>
      </c>
      <c r="GN42" t="e">
        <f>AND(#REF!,"AAAAAB7vpsM=")</f>
        <v>#REF!</v>
      </c>
      <c r="GO42" t="e">
        <f>AND(#REF!,"AAAAAB7vpsQ=")</f>
        <v>#REF!</v>
      </c>
      <c r="GP42" t="e">
        <f>IF(#REF!,"AAAAAB7vpsU=",0)</f>
        <v>#REF!</v>
      </c>
      <c r="GQ42" t="e">
        <f>AND(#REF!,"AAAAAB7vpsY=")</f>
        <v>#REF!</v>
      </c>
      <c r="GR42" t="e">
        <f>AND(#REF!,"AAAAAB7vpsc=")</f>
        <v>#REF!</v>
      </c>
      <c r="GS42" t="e">
        <f>AND(#REF!,"AAAAAB7vpsg=")</f>
        <v>#REF!</v>
      </c>
      <c r="GT42" t="e">
        <f>AND(#REF!,"AAAAAB7vpsk=")</f>
        <v>#REF!</v>
      </c>
      <c r="GU42" t="e">
        <f>AND(#REF!,"AAAAAB7vpso=")</f>
        <v>#REF!</v>
      </c>
      <c r="GV42" t="e">
        <f>AND(#REF!,"AAAAAB7vpss=")</f>
        <v>#REF!</v>
      </c>
      <c r="GW42" t="e">
        <f>AND(#REF!,"AAAAAB7vpsw=")</f>
        <v>#REF!</v>
      </c>
      <c r="GX42" t="e">
        <f>AND(#REF!,"AAAAAB7vps0=")</f>
        <v>#REF!</v>
      </c>
      <c r="GY42" t="e">
        <f>AND(#REF!,"AAAAAB7vps4=")</f>
        <v>#REF!</v>
      </c>
      <c r="GZ42" t="e">
        <f>AND(#REF!,"AAAAAB7vps8=")</f>
        <v>#REF!</v>
      </c>
      <c r="HA42" t="e">
        <f>AND(#REF!,"AAAAAB7vptA=")</f>
        <v>#REF!</v>
      </c>
      <c r="HB42" t="e">
        <f>AND(#REF!,"AAAAAB7vptE=")</f>
        <v>#REF!</v>
      </c>
      <c r="HC42" t="e">
        <f>AND(#REF!,"AAAAAB7vptI=")</f>
        <v>#REF!</v>
      </c>
      <c r="HD42" t="e">
        <f>AND(#REF!,"AAAAAB7vptM=")</f>
        <v>#REF!</v>
      </c>
      <c r="HE42" t="e">
        <f>AND(#REF!,"AAAAAB7vptQ=")</f>
        <v>#REF!</v>
      </c>
      <c r="HF42" t="e">
        <f>AND(#REF!,"AAAAAB7vptU=")</f>
        <v>#REF!</v>
      </c>
      <c r="HG42" t="e">
        <f>IF(#REF!,"AAAAAB7vptY=",0)</f>
        <v>#REF!</v>
      </c>
      <c r="HH42" t="e">
        <f>AND(#REF!,"AAAAAB7vptc=")</f>
        <v>#REF!</v>
      </c>
      <c r="HI42" t="e">
        <f>AND(#REF!,"AAAAAB7vptg=")</f>
        <v>#REF!</v>
      </c>
      <c r="HJ42" t="e">
        <f>AND(#REF!,"AAAAAB7vptk=")</f>
        <v>#REF!</v>
      </c>
      <c r="HK42" t="e">
        <f>AND(#REF!,"AAAAAB7vpto=")</f>
        <v>#REF!</v>
      </c>
      <c r="HL42" t="e">
        <f>AND(#REF!,"AAAAAB7vpts=")</f>
        <v>#REF!</v>
      </c>
      <c r="HM42" t="e">
        <f>AND(#REF!,"AAAAAB7vptw=")</f>
        <v>#REF!</v>
      </c>
      <c r="HN42" t="e">
        <f>AND(#REF!,"AAAAAB7vpt0=")</f>
        <v>#REF!</v>
      </c>
      <c r="HO42" t="e">
        <f>AND(#REF!,"AAAAAB7vpt4=")</f>
        <v>#REF!</v>
      </c>
      <c r="HP42" t="e">
        <f>AND(#REF!,"AAAAAB7vpt8=")</f>
        <v>#REF!</v>
      </c>
      <c r="HQ42" t="e">
        <f>AND(#REF!,"AAAAAB7vpuA=")</f>
        <v>#REF!</v>
      </c>
      <c r="HR42" t="e">
        <f>AND(#REF!,"AAAAAB7vpuE=")</f>
        <v>#REF!</v>
      </c>
      <c r="HS42" t="e">
        <f>AND(#REF!,"AAAAAB7vpuI=")</f>
        <v>#REF!</v>
      </c>
      <c r="HT42" t="e">
        <f>AND(#REF!,"AAAAAB7vpuM=")</f>
        <v>#REF!</v>
      </c>
      <c r="HU42" t="e">
        <f>AND(#REF!,"AAAAAB7vpuQ=")</f>
        <v>#REF!</v>
      </c>
      <c r="HV42" t="e">
        <f>AND(#REF!,"AAAAAB7vpuU=")</f>
        <v>#REF!</v>
      </c>
      <c r="HW42" t="e">
        <f>AND(#REF!,"AAAAAB7vpuY=")</f>
        <v>#REF!</v>
      </c>
      <c r="HX42" t="e">
        <f>IF(#REF!,"AAAAAB7vpuc=",0)</f>
        <v>#REF!</v>
      </c>
      <c r="HY42" t="e">
        <f>AND(#REF!,"AAAAAB7vpug=")</f>
        <v>#REF!</v>
      </c>
      <c r="HZ42" t="e">
        <f>AND(#REF!,"AAAAAB7vpuk=")</f>
        <v>#REF!</v>
      </c>
      <c r="IA42" t="e">
        <f>AND(#REF!,"AAAAAB7vpuo=")</f>
        <v>#REF!</v>
      </c>
      <c r="IB42" t="e">
        <f>AND(#REF!,"AAAAAB7vpus=")</f>
        <v>#REF!</v>
      </c>
      <c r="IC42" t="e">
        <f>AND(#REF!,"AAAAAB7vpuw=")</f>
        <v>#REF!</v>
      </c>
      <c r="ID42" t="e">
        <f>AND(#REF!,"AAAAAB7vpu0=")</f>
        <v>#REF!</v>
      </c>
      <c r="IE42" t="e">
        <f>AND(#REF!,"AAAAAB7vpu4=")</f>
        <v>#REF!</v>
      </c>
      <c r="IF42" t="e">
        <f>AND(#REF!,"AAAAAB7vpu8=")</f>
        <v>#REF!</v>
      </c>
      <c r="IG42" t="e">
        <f>AND(#REF!,"AAAAAB7vpvA=")</f>
        <v>#REF!</v>
      </c>
      <c r="IH42" t="e">
        <f>AND(#REF!,"AAAAAB7vpvE=")</f>
        <v>#REF!</v>
      </c>
      <c r="II42" t="e">
        <f>AND(#REF!,"AAAAAB7vpvI=")</f>
        <v>#REF!</v>
      </c>
      <c r="IJ42" t="e">
        <f>AND(#REF!,"AAAAAB7vpvM=")</f>
        <v>#REF!</v>
      </c>
      <c r="IK42" t="e">
        <f>AND(#REF!,"AAAAAB7vpvQ=")</f>
        <v>#REF!</v>
      </c>
      <c r="IL42" t="e">
        <f>AND(#REF!,"AAAAAB7vpvU=")</f>
        <v>#REF!</v>
      </c>
      <c r="IM42" t="e">
        <f>AND(#REF!,"AAAAAB7vpvY=")</f>
        <v>#REF!</v>
      </c>
      <c r="IN42" t="e">
        <f>AND(#REF!,"AAAAAB7vpvc=")</f>
        <v>#REF!</v>
      </c>
      <c r="IO42" t="e">
        <f>IF(#REF!,"AAAAAB7vpvg=",0)</f>
        <v>#REF!</v>
      </c>
      <c r="IP42" t="e">
        <f>AND(#REF!,"AAAAAB7vpvk=")</f>
        <v>#REF!</v>
      </c>
      <c r="IQ42" t="e">
        <f>AND(#REF!,"AAAAAB7vpvo=")</f>
        <v>#REF!</v>
      </c>
      <c r="IR42" t="e">
        <f>AND(#REF!,"AAAAAB7vpvs=")</f>
        <v>#REF!</v>
      </c>
      <c r="IS42" t="e">
        <f>AND(#REF!,"AAAAAB7vpvw=")</f>
        <v>#REF!</v>
      </c>
      <c r="IT42" t="e">
        <f>AND(#REF!,"AAAAAB7vpv0=")</f>
        <v>#REF!</v>
      </c>
      <c r="IU42" t="e">
        <f>AND(#REF!,"AAAAAB7vpv4=")</f>
        <v>#REF!</v>
      </c>
      <c r="IV42" t="e">
        <f>AND(#REF!,"AAAAAB7vpv8=")</f>
        <v>#REF!</v>
      </c>
    </row>
    <row r="43" spans="1:256">
      <c r="A43" t="e">
        <f>AND(#REF!,"AAAAADra/wA=")</f>
        <v>#REF!</v>
      </c>
      <c r="B43" t="e">
        <f>AND(#REF!,"AAAAADra/wE=")</f>
        <v>#REF!</v>
      </c>
      <c r="C43" t="e">
        <f>AND(#REF!,"AAAAADra/wI=")</f>
        <v>#REF!</v>
      </c>
      <c r="D43" t="e">
        <f>AND(#REF!,"AAAAADra/wM=")</f>
        <v>#REF!</v>
      </c>
      <c r="E43" t="e">
        <f>AND(#REF!,"AAAAADra/wQ=")</f>
        <v>#REF!</v>
      </c>
      <c r="F43" t="e">
        <f>AND(#REF!,"AAAAADra/wU=")</f>
        <v>#REF!</v>
      </c>
      <c r="G43" t="e">
        <f>AND(#REF!,"AAAAADra/wY=")</f>
        <v>#REF!</v>
      </c>
      <c r="H43" t="e">
        <f>AND(#REF!,"AAAAADra/wc=")</f>
        <v>#REF!</v>
      </c>
      <c r="I43" t="e">
        <f>AND(#REF!,"AAAAADra/wg=")</f>
        <v>#REF!</v>
      </c>
      <c r="J43" t="e">
        <f>IF(#REF!,"AAAAADra/wk=",0)</f>
        <v>#REF!</v>
      </c>
      <c r="K43" t="e">
        <f>AND(#REF!,"AAAAADra/wo=")</f>
        <v>#REF!</v>
      </c>
      <c r="L43" t="e">
        <f>AND(#REF!,"AAAAADra/ws=")</f>
        <v>#REF!</v>
      </c>
      <c r="M43" t="e">
        <f>AND(#REF!,"AAAAADra/ww=")</f>
        <v>#REF!</v>
      </c>
      <c r="N43" t="e">
        <f>AND(#REF!,"AAAAADra/w0=")</f>
        <v>#REF!</v>
      </c>
      <c r="O43" t="e">
        <f>AND(#REF!,"AAAAADra/w4=")</f>
        <v>#REF!</v>
      </c>
      <c r="P43" t="e">
        <f>AND(#REF!,"AAAAADra/w8=")</f>
        <v>#REF!</v>
      </c>
      <c r="Q43" t="e">
        <f>AND(#REF!,"AAAAADra/xA=")</f>
        <v>#REF!</v>
      </c>
      <c r="R43" t="e">
        <f>AND(#REF!,"AAAAADra/xE=")</f>
        <v>#REF!</v>
      </c>
      <c r="S43" t="e">
        <f>AND(#REF!,"AAAAADra/xI=")</f>
        <v>#REF!</v>
      </c>
      <c r="T43" t="e">
        <f>AND(#REF!,"AAAAADra/xM=")</f>
        <v>#REF!</v>
      </c>
      <c r="U43" t="e">
        <f>AND(#REF!,"AAAAADra/xQ=")</f>
        <v>#REF!</v>
      </c>
      <c r="V43" t="e">
        <f>AND(#REF!,"AAAAADra/xU=")</f>
        <v>#REF!</v>
      </c>
      <c r="W43" t="e">
        <f>AND(#REF!,"AAAAADra/xY=")</f>
        <v>#REF!</v>
      </c>
      <c r="X43" t="e">
        <f>AND(#REF!,"AAAAADra/xc=")</f>
        <v>#REF!</v>
      </c>
      <c r="Y43" t="e">
        <f>AND(#REF!,"AAAAADra/xg=")</f>
        <v>#REF!</v>
      </c>
      <c r="Z43" t="e">
        <f>AND(#REF!,"AAAAADra/xk=")</f>
        <v>#REF!</v>
      </c>
      <c r="AA43" t="e">
        <f>IF(#REF!,"AAAAADra/xo=",0)</f>
        <v>#REF!</v>
      </c>
      <c r="AB43" t="e">
        <f>AND(#REF!,"AAAAADra/xs=")</f>
        <v>#REF!</v>
      </c>
      <c r="AC43" t="e">
        <f>AND(#REF!,"AAAAADra/xw=")</f>
        <v>#REF!</v>
      </c>
      <c r="AD43" t="e">
        <f>AND(#REF!,"AAAAADra/x0=")</f>
        <v>#REF!</v>
      </c>
      <c r="AE43" t="e">
        <f>AND(#REF!,"AAAAADra/x4=")</f>
        <v>#REF!</v>
      </c>
      <c r="AF43" t="e">
        <f>AND(#REF!,"AAAAADra/x8=")</f>
        <v>#REF!</v>
      </c>
      <c r="AG43" t="e">
        <f>AND(#REF!,"AAAAADra/yA=")</f>
        <v>#REF!</v>
      </c>
      <c r="AH43" t="e">
        <f>AND(#REF!,"AAAAADra/yE=")</f>
        <v>#REF!</v>
      </c>
      <c r="AI43" t="e">
        <f>AND(#REF!,"AAAAADra/yI=")</f>
        <v>#REF!</v>
      </c>
      <c r="AJ43" t="e">
        <f>AND(#REF!,"AAAAADra/yM=")</f>
        <v>#REF!</v>
      </c>
      <c r="AK43" t="e">
        <f>AND(#REF!,"AAAAADra/yQ=")</f>
        <v>#REF!</v>
      </c>
      <c r="AL43" t="e">
        <f>AND(#REF!,"AAAAADra/yU=")</f>
        <v>#REF!</v>
      </c>
      <c r="AM43" t="e">
        <f>AND(#REF!,"AAAAADra/yY=")</f>
        <v>#REF!</v>
      </c>
      <c r="AN43" t="e">
        <f>AND(#REF!,"AAAAADra/yc=")</f>
        <v>#REF!</v>
      </c>
      <c r="AO43" t="e">
        <f>AND(#REF!,"AAAAADra/yg=")</f>
        <v>#REF!</v>
      </c>
      <c r="AP43" t="e">
        <f>AND(#REF!,"AAAAADra/yk=")</f>
        <v>#REF!</v>
      </c>
      <c r="AQ43" t="e">
        <f>AND(#REF!,"AAAAADra/yo=")</f>
        <v>#REF!</v>
      </c>
      <c r="AR43" t="e">
        <f>IF(#REF!,"AAAAADra/ys=",0)</f>
        <v>#REF!</v>
      </c>
      <c r="AS43" t="e">
        <f>AND(#REF!,"AAAAADra/yw=")</f>
        <v>#REF!</v>
      </c>
      <c r="AT43" t="e">
        <f>AND(#REF!,"AAAAADra/y0=")</f>
        <v>#REF!</v>
      </c>
      <c r="AU43" t="e">
        <f>AND(#REF!,"AAAAADra/y4=")</f>
        <v>#REF!</v>
      </c>
      <c r="AV43" t="e">
        <f>AND(#REF!,"AAAAADra/y8=")</f>
        <v>#REF!</v>
      </c>
      <c r="AW43" t="e">
        <f>AND(#REF!,"AAAAADra/zA=")</f>
        <v>#REF!</v>
      </c>
      <c r="AX43" t="e">
        <f>AND(#REF!,"AAAAADra/zE=")</f>
        <v>#REF!</v>
      </c>
      <c r="AY43" t="e">
        <f>AND(#REF!,"AAAAADra/zI=")</f>
        <v>#REF!</v>
      </c>
      <c r="AZ43" t="e">
        <f>AND(#REF!,"AAAAADra/zM=")</f>
        <v>#REF!</v>
      </c>
      <c r="BA43" t="e">
        <f>AND(#REF!,"AAAAADra/zQ=")</f>
        <v>#REF!</v>
      </c>
      <c r="BB43" t="e">
        <f>AND(#REF!,"AAAAADra/zU=")</f>
        <v>#REF!</v>
      </c>
      <c r="BC43" t="e">
        <f>AND(#REF!,"AAAAADra/zY=")</f>
        <v>#REF!</v>
      </c>
      <c r="BD43" t="e">
        <f>AND(#REF!,"AAAAADra/zc=")</f>
        <v>#REF!</v>
      </c>
      <c r="BE43" t="e">
        <f>AND(#REF!,"AAAAADra/zg=")</f>
        <v>#REF!</v>
      </c>
      <c r="BF43" t="e">
        <f>AND(#REF!,"AAAAADra/zk=")</f>
        <v>#REF!</v>
      </c>
      <c r="BG43" t="e">
        <f>AND(#REF!,"AAAAADra/zo=")</f>
        <v>#REF!</v>
      </c>
      <c r="BH43" t="e">
        <f>AND(#REF!,"AAAAADra/zs=")</f>
        <v>#REF!</v>
      </c>
      <c r="BI43" t="e">
        <f>IF(#REF!,"AAAAADra/zw=",0)</f>
        <v>#REF!</v>
      </c>
      <c r="BJ43" t="e">
        <f>AND(#REF!,"AAAAADra/z0=")</f>
        <v>#REF!</v>
      </c>
      <c r="BK43" t="e">
        <f>AND(#REF!,"AAAAADra/z4=")</f>
        <v>#REF!</v>
      </c>
      <c r="BL43" t="e">
        <f>AND(#REF!,"AAAAADra/z8=")</f>
        <v>#REF!</v>
      </c>
      <c r="BM43" t="e">
        <f>AND(#REF!,"AAAAADra/0A=")</f>
        <v>#REF!</v>
      </c>
      <c r="BN43" t="e">
        <f>AND(#REF!,"AAAAADra/0E=")</f>
        <v>#REF!</v>
      </c>
      <c r="BO43" t="e">
        <f>AND(#REF!,"AAAAADra/0I=")</f>
        <v>#REF!</v>
      </c>
      <c r="BP43" t="e">
        <f>AND(#REF!,"AAAAADra/0M=")</f>
        <v>#REF!</v>
      </c>
      <c r="BQ43" t="e">
        <f>AND(#REF!,"AAAAADra/0Q=")</f>
        <v>#REF!</v>
      </c>
      <c r="BR43" t="e">
        <f>AND(#REF!,"AAAAADra/0U=")</f>
        <v>#REF!</v>
      </c>
      <c r="BS43" t="e">
        <f>AND(#REF!,"AAAAADra/0Y=")</f>
        <v>#REF!</v>
      </c>
      <c r="BT43" t="e">
        <f>AND(#REF!,"AAAAADra/0c=")</f>
        <v>#REF!</v>
      </c>
      <c r="BU43" t="e">
        <f>AND(#REF!,"AAAAADra/0g=")</f>
        <v>#REF!</v>
      </c>
      <c r="BV43" t="e">
        <f>AND(#REF!,"AAAAADra/0k=")</f>
        <v>#REF!</v>
      </c>
      <c r="BW43" t="e">
        <f>AND(#REF!,"AAAAADra/0o=")</f>
        <v>#REF!</v>
      </c>
      <c r="BX43" t="e">
        <f>AND(#REF!,"AAAAADra/0s=")</f>
        <v>#REF!</v>
      </c>
      <c r="BY43" t="e">
        <f>AND(#REF!,"AAAAADra/0w=")</f>
        <v>#REF!</v>
      </c>
      <c r="BZ43" t="e">
        <f>IF(#REF!,"AAAAADra/00=",0)</f>
        <v>#REF!</v>
      </c>
      <c r="CA43" t="e">
        <f>AND(#REF!,"AAAAADra/04=")</f>
        <v>#REF!</v>
      </c>
      <c r="CB43" t="e">
        <f>AND(#REF!,"AAAAADra/08=")</f>
        <v>#REF!</v>
      </c>
      <c r="CC43" t="e">
        <f>AND(#REF!,"AAAAADra/1A=")</f>
        <v>#REF!</v>
      </c>
      <c r="CD43" t="e">
        <f>AND(#REF!,"AAAAADra/1E=")</f>
        <v>#REF!</v>
      </c>
      <c r="CE43" t="e">
        <f>AND(#REF!,"AAAAADra/1I=")</f>
        <v>#REF!</v>
      </c>
      <c r="CF43" t="e">
        <f>AND(#REF!,"AAAAADra/1M=")</f>
        <v>#REF!</v>
      </c>
      <c r="CG43" t="e">
        <f>AND(#REF!,"AAAAADra/1Q=")</f>
        <v>#REF!</v>
      </c>
      <c r="CH43" t="e">
        <f>AND(#REF!,"AAAAADra/1U=")</f>
        <v>#REF!</v>
      </c>
      <c r="CI43" t="e">
        <f>AND(#REF!,"AAAAADra/1Y=")</f>
        <v>#REF!</v>
      </c>
      <c r="CJ43" t="e">
        <f>AND(#REF!,"AAAAADra/1c=")</f>
        <v>#REF!</v>
      </c>
      <c r="CK43" t="e">
        <f>AND(#REF!,"AAAAADra/1g=")</f>
        <v>#REF!</v>
      </c>
      <c r="CL43" t="e">
        <f>AND(#REF!,"AAAAADra/1k=")</f>
        <v>#REF!</v>
      </c>
      <c r="CM43" t="e">
        <f>AND(#REF!,"AAAAADra/1o=")</f>
        <v>#REF!</v>
      </c>
      <c r="CN43" t="e">
        <f>AND(#REF!,"AAAAADra/1s=")</f>
        <v>#REF!</v>
      </c>
      <c r="CO43" t="e">
        <f>AND(#REF!,"AAAAADra/1w=")</f>
        <v>#REF!</v>
      </c>
      <c r="CP43" t="e">
        <f>AND(#REF!,"AAAAADra/10=")</f>
        <v>#REF!</v>
      </c>
      <c r="CQ43" t="e">
        <f>IF(#REF!,"AAAAADra/14=",0)</f>
        <v>#REF!</v>
      </c>
      <c r="CR43" t="e">
        <f>AND(#REF!,"AAAAADra/18=")</f>
        <v>#REF!</v>
      </c>
      <c r="CS43" t="e">
        <f>AND(#REF!,"AAAAADra/2A=")</f>
        <v>#REF!</v>
      </c>
      <c r="CT43" t="e">
        <f>AND(#REF!,"AAAAADra/2E=")</f>
        <v>#REF!</v>
      </c>
      <c r="CU43" t="e">
        <f>AND(#REF!,"AAAAADra/2I=")</f>
        <v>#REF!</v>
      </c>
      <c r="CV43" t="e">
        <f>AND(#REF!,"AAAAADra/2M=")</f>
        <v>#REF!</v>
      </c>
      <c r="CW43" t="e">
        <f>AND(#REF!,"AAAAADra/2Q=")</f>
        <v>#REF!</v>
      </c>
      <c r="CX43" t="e">
        <f>AND(#REF!,"AAAAADra/2U=")</f>
        <v>#REF!</v>
      </c>
      <c r="CY43" t="e">
        <f>AND(#REF!,"AAAAADra/2Y=")</f>
        <v>#REF!</v>
      </c>
      <c r="CZ43" t="e">
        <f>AND(#REF!,"AAAAADra/2c=")</f>
        <v>#REF!</v>
      </c>
      <c r="DA43" t="e">
        <f>AND(#REF!,"AAAAADra/2g=")</f>
        <v>#REF!</v>
      </c>
      <c r="DB43" t="e">
        <f>AND(#REF!,"AAAAADra/2k=")</f>
        <v>#REF!</v>
      </c>
      <c r="DC43" t="e">
        <f>AND(#REF!,"AAAAADra/2o=")</f>
        <v>#REF!</v>
      </c>
      <c r="DD43" t="e">
        <f>AND(#REF!,"AAAAADra/2s=")</f>
        <v>#REF!</v>
      </c>
      <c r="DE43" t="e">
        <f>AND(#REF!,"AAAAADra/2w=")</f>
        <v>#REF!</v>
      </c>
      <c r="DF43" t="e">
        <f>AND(#REF!,"AAAAADra/20=")</f>
        <v>#REF!</v>
      </c>
      <c r="DG43" t="e">
        <f>AND(#REF!,"AAAAADra/24=")</f>
        <v>#REF!</v>
      </c>
      <c r="DH43" t="e">
        <f>IF(#REF!,"AAAAADra/28=",0)</f>
        <v>#REF!</v>
      </c>
      <c r="DI43" t="e">
        <f>AND(#REF!,"AAAAADra/3A=")</f>
        <v>#REF!</v>
      </c>
      <c r="DJ43" t="e">
        <f>AND(#REF!,"AAAAADra/3E=")</f>
        <v>#REF!</v>
      </c>
      <c r="DK43" t="e">
        <f>AND(#REF!,"AAAAADra/3I=")</f>
        <v>#REF!</v>
      </c>
      <c r="DL43" t="e">
        <f>AND(#REF!,"AAAAADra/3M=")</f>
        <v>#REF!</v>
      </c>
      <c r="DM43" t="e">
        <f>AND(#REF!,"AAAAADra/3Q=")</f>
        <v>#REF!</v>
      </c>
      <c r="DN43" t="e">
        <f>AND(#REF!,"AAAAADra/3U=")</f>
        <v>#REF!</v>
      </c>
      <c r="DO43" t="e">
        <f>AND(#REF!,"AAAAADra/3Y=")</f>
        <v>#REF!</v>
      </c>
      <c r="DP43" t="e">
        <f>AND(#REF!,"AAAAADra/3c=")</f>
        <v>#REF!</v>
      </c>
      <c r="DQ43" t="e">
        <f>AND(#REF!,"AAAAADra/3g=")</f>
        <v>#REF!</v>
      </c>
      <c r="DR43" t="e">
        <f>AND(#REF!,"AAAAADra/3k=")</f>
        <v>#REF!</v>
      </c>
      <c r="DS43" t="e">
        <f>AND(#REF!,"AAAAADra/3o=")</f>
        <v>#REF!</v>
      </c>
      <c r="DT43" t="e">
        <f>AND(#REF!,"AAAAADra/3s=")</f>
        <v>#REF!</v>
      </c>
      <c r="DU43" t="e">
        <f>AND(#REF!,"AAAAADra/3w=")</f>
        <v>#REF!</v>
      </c>
      <c r="DV43" t="e">
        <f>AND(#REF!,"AAAAADra/30=")</f>
        <v>#REF!</v>
      </c>
      <c r="DW43" t="e">
        <f>AND(#REF!,"AAAAADra/34=")</f>
        <v>#REF!</v>
      </c>
      <c r="DX43" t="e">
        <f>AND(#REF!,"AAAAADra/38=")</f>
        <v>#REF!</v>
      </c>
      <c r="DY43" t="e">
        <f>IF(#REF!,"AAAAADra/4A=",0)</f>
        <v>#REF!</v>
      </c>
      <c r="DZ43" t="e">
        <f>AND(#REF!,"AAAAADra/4E=")</f>
        <v>#REF!</v>
      </c>
      <c r="EA43" t="e">
        <f>AND(#REF!,"AAAAADra/4I=")</f>
        <v>#REF!</v>
      </c>
      <c r="EB43" t="e">
        <f>AND(#REF!,"AAAAADra/4M=")</f>
        <v>#REF!</v>
      </c>
      <c r="EC43" t="e">
        <f>AND(#REF!,"AAAAADra/4Q=")</f>
        <v>#REF!</v>
      </c>
      <c r="ED43" t="e">
        <f>AND(#REF!,"AAAAADra/4U=")</f>
        <v>#REF!</v>
      </c>
      <c r="EE43" t="e">
        <f>AND(#REF!,"AAAAADra/4Y=")</f>
        <v>#REF!</v>
      </c>
      <c r="EF43" t="e">
        <f>AND(#REF!,"AAAAADra/4c=")</f>
        <v>#REF!</v>
      </c>
      <c r="EG43" t="e">
        <f>AND(#REF!,"AAAAADra/4g=")</f>
        <v>#REF!</v>
      </c>
      <c r="EH43" t="e">
        <f>AND(#REF!,"AAAAADra/4k=")</f>
        <v>#REF!</v>
      </c>
      <c r="EI43" t="e">
        <f>AND(#REF!,"AAAAADra/4o=")</f>
        <v>#REF!</v>
      </c>
      <c r="EJ43" t="e">
        <f>AND(#REF!,"AAAAADra/4s=")</f>
        <v>#REF!</v>
      </c>
      <c r="EK43" t="e">
        <f>AND(#REF!,"AAAAADra/4w=")</f>
        <v>#REF!</v>
      </c>
      <c r="EL43" t="e">
        <f>AND(#REF!,"AAAAADra/40=")</f>
        <v>#REF!</v>
      </c>
      <c r="EM43" t="e">
        <f>AND(#REF!,"AAAAADra/44=")</f>
        <v>#REF!</v>
      </c>
      <c r="EN43" t="e">
        <f>AND(#REF!,"AAAAADra/48=")</f>
        <v>#REF!</v>
      </c>
      <c r="EO43" t="e">
        <f>AND(#REF!,"AAAAADra/5A=")</f>
        <v>#REF!</v>
      </c>
      <c r="EP43" t="e">
        <f>IF(#REF!,"AAAAADra/5E=",0)</f>
        <v>#REF!</v>
      </c>
      <c r="EQ43" t="e">
        <f>AND(#REF!,"AAAAADra/5I=")</f>
        <v>#REF!</v>
      </c>
      <c r="ER43" t="e">
        <f>AND(#REF!,"AAAAADra/5M=")</f>
        <v>#REF!</v>
      </c>
      <c r="ES43" t="e">
        <f>AND(#REF!,"AAAAADra/5Q=")</f>
        <v>#REF!</v>
      </c>
      <c r="ET43" t="e">
        <f>AND(#REF!,"AAAAADra/5U=")</f>
        <v>#REF!</v>
      </c>
      <c r="EU43" t="e">
        <f>AND(#REF!,"AAAAADra/5Y=")</f>
        <v>#REF!</v>
      </c>
      <c r="EV43" t="e">
        <f>AND(#REF!,"AAAAADra/5c=")</f>
        <v>#REF!</v>
      </c>
      <c r="EW43" t="e">
        <f>AND(#REF!,"AAAAADra/5g=")</f>
        <v>#REF!</v>
      </c>
      <c r="EX43" t="e">
        <f>AND(#REF!,"AAAAADra/5k=")</f>
        <v>#REF!</v>
      </c>
      <c r="EY43" t="e">
        <f>AND(#REF!,"AAAAADra/5o=")</f>
        <v>#REF!</v>
      </c>
      <c r="EZ43" t="e">
        <f>AND(#REF!,"AAAAADra/5s=")</f>
        <v>#REF!</v>
      </c>
      <c r="FA43" t="e">
        <f>AND(#REF!,"AAAAADra/5w=")</f>
        <v>#REF!</v>
      </c>
      <c r="FB43" t="e">
        <f>AND(#REF!,"AAAAADra/50=")</f>
        <v>#REF!</v>
      </c>
      <c r="FC43" t="e">
        <f>AND(#REF!,"AAAAADra/54=")</f>
        <v>#REF!</v>
      </c>
      <c r="FD43" t="e">
        <f>AND(#REF!,"AAAAADra/58=")</f>
        <v>#REF!</v>
      </c>
      <c r="FE43" t="e">
        <f>AND(#REF!,"AAAAADra/6A=")</f>
        <v>#REF!</v>
      </c>
      <c r="FF43" t="e">
        <f>AND(#REF!,"AAAAADra/6E=")</f>
        <v>#REF!</v>
      </c>
      <c r="FG43" t="e">
        <f>IF(#REF!,"AAAAADra/6I=",0)</f>
        <v>#REF!</v>
      </c>
      <c r="FH43" t="e">
        <f>AND(#REF!,"AAAAADra/6M=")</f>
        <v>#REF!</v>
      </c>
      <c r="FI43" t="e">
        <f>AND(#REF!,"AAAAADra/6Q=")</f>
        <v>#REF!</v>
      </c>
      <c r="FJ43" t="e">
        <f>AND(#REF!,"AAAAADra/6U=")</f>
        <v>#REF!</v>
      </c>
      <c r="FK43" t="e">
        <f>AND(#REF!,"AAAAADra/6Y=")</f>
        <v>#REF!</v>
      </c>
      <c r="FL43" t="e">
        <f>AND(#REF!,"AAAAADra/6c=")</f>
        <v>#REF!</v>
      </c>
      <c r="FM43" t="e">
        <f>AND(#REF!,"AAAAADra/6g=")</f>
        <v>#REF!</v>
      </c>
      <c r="FN43" t="e">
        <f>AND(#REF!,"AAAAADra/6k=")</f>
        <v>#REF!</v>
      </c>
      <c r="FO43" t="e">
        <f>AND(#REF!,"AAAAADra/6o=")</f>
        <v>#REF!</v>
      </c>
      <c r="FP43" t="e">
        <f>AND(#REF!,"AAAAADra/6s=")</f>
        <v>#REF!</v>
      </c>
      <c r="FQ43" t="e">
        <f>AND(#REF!,"AAAAADra/6w=")</f>
        <v>#REF!</v>
      </c>
      <c r="FR43" t="e">
        <f>AND(#REF!,"AAAAADra/60=")</f>
        <v>#REF!</v>
      </c>
      <c r="FS43" t="e">
        <f>AND(#REF!,"AAAAADra/64=")</f>
        <v>#REF!</v>
      </c>
      <c r="FT43" t="e">
        <f>AND(#REF!,"AAAAADra/68=")</f>
        <v>#REF!</v>
      </c>
      <c r="FU43" t="e">
        <f>AND(#REF!,"AAAAADra/7A=")</f>
        <v>#REF!</v>
      </c>
      <c r="FV43" t="e">
        <f>AND(#REF!,"AAAAADra/7E=")</f>
        <v>#REF!</v>
      </c>
      <c r="FW43" t="e">
        <f>AND(#REF!,"AAAAADra/7I=")</f>
        <v>#REF!</v>
      </c>
      <c r="FX43" t="e">
        <f>IF(#REF!,"AAAAADra/7M=",0)</f>
        <v>#REF!</v>
      </c>
      <c r="FY43" t="e">
        <f>AND(#REF!,"AAAAADra/7Q=")</f>
        <v>#REF!</v>
      </c>
      <c r="FZ43" t="e">
        <f>AND(#REF!,"AAAAADra/7U=")</f>
        <v>#REF!</v>
      </c>
      <c r="GA43" t="e">
        <f>AND(#REF!,"AAAAADra/7Y=")</f>
        <v>#REF!</v>
      </c>
      <c r="GB43" t="e">
        <f>AND(#REF!,"AAAAADra/7c=")</f>
        <v>#REF!</v>
      </c>
      <c r="GC43" t="e">
        <f>AND(#REF!,"AAAAADra/7g=")</f>
        <v>#REF!</v>
      </c>
      <c r="GD43" t="e">
        <f>AND(#REF!,"AAAAADra/7k=")</f>
        <v>#REF!</v>
      </c>
      <c r="GE43" t="e">
        <f>AND(#REF!,"AAAAADra/7o=")</f>
        <v>#REF!</v>
      </c>
      <c r="GF43" t="e">
        <f>AND(#REF!,"AAAAADra/7s=")</f>
        <v>#REF!</v>
      </c>
      <c r="GG43" t="e">
        <f>AND(#REF!,"AAAAADra/7w=")</f>
        <v>#REF!</v>
      </c>
      <c r="GH43" t="e">
        <f>AND(#REF!,"AAAAADra/70=")</f>
        <v>#REF!</v>
      </c>
      <c r="GI43" t="e">
        <f>AND(#REF!,"AAAAADra/74=")</f>
        <v>#REF!</v>
      </c>
      <c r="GJ43" t="e">
        <f>AND(#REF!,"AAAAADra/78=")</f>
        <v>#REF!</v>
      </c>
      <c r="GK43" t="e">
        <f>AND(#REF!,"AAAAADra/8A=")</f>
        <v>#REF!</v>
      </c>
      <c r="GL43" t="e">
        <f>AND(#REF!,"AAAAADra/8E=")</f>
        <v>#REF!</v>
      </c>
      <c r="GM43" t="e">
        <f>AND(#REF!,"AAAAADra/8I=")</f>
        <v>#REF!</v>
      </c>
      <c r="GN43" t="e">
        <f>AND(#REF!,"AAAAADra/8M=")</f>
        <v>#REF!</v>
      </c>
      <c r="GO43" t="e">
        <f>IF(#REF!,"AAAAADra/8Q=",0)</f>
        <v>#REF!</v>
      </c>
      <c r="GP43" t="e">
        <f>AND(#REF!,"AAAAADra/8U=")</f>
        <v>#REF!</v>
      </c>
      <c r="GQ43" t="e">
        <f>AND(#REF!,"AAAAADra/8Y=")</f>
        <v>#REF!</v>
      </c>
      <c r="GR43" t="e">
        <f>AND(#REF!,"AAAAADra/8c=")</f>
        <v>#REF!</v>
      </c>
      <c r="GS43" t="e">
        <f>AND(#REF!,"AAAAADra/8g=")</f>
        <v>#REF!</v>
      </c>
      <c r="GT43" t="e">
        <f>AND(#REF!,"AAAAADra/8k=")</f>
        <v>#REF!</v>
      </c>
      <c r="GU43" t="e">
        <f>AND(#REF!,"AAAAADra/8o=")</f>
        <v>#REF!</v>
      </c>
      <c r="GV43" t="e">
        <f>AND(#REF!,"AAAAADra/8s=")</f>
        <v>#REF!</v>
      </c>
      <c r="GW43" t="e">
        <f>AND(#REF!,"AAAAADra/8w=")</f>
        <v>#REF!</v>
      </c>
      <c r="GX43" t="e">
        <f>AND(#REF!,"AAAAADra/80=")</f>
        <v>#REF!</v>
      </c>
      <c r="GY43" t="e">
        <f>AND(#REF!,"AAAAADra/84=")</f>
        <v>#REF!</v>
      </c>
      <c r="GZ43" t="e">
        <f>AND(#REF!,"AAAAADra/88=")</f>
        <v>#REF!</v>
      </c>
      <c r="HA43" t="e">
        <f>AND(#REF!,"AAAAADra/9A=")</f>
        <v>#REF!</v>
      </c>
      <c r="HB43" t="e">
        <f>AND(#REF!,"AAAAADra/9E=")</f>
        <v>#REF!</v>
      </c>
      <c r="HC43" t="e">
        <f>AND(#REF!,"AAAAADra/9I=")</f>
        <v>#REF!</v>
      </c>
      <c r="HD43" t="e">
        <f>AND(#REF!,"AAAAADra/9M=")</f>
        <v>#REF!</v>
      </c>
      <c r="HE43" t="e">
        <f>AND(#REF!,"AAAAADra/9Q=")</f>
        <v>#REF!</v>
      </c>
      <c r="HF43" t="e">
        <f>IF(#REF!,"AAAAADra/9U=",0)</f>
        <v>#REF!</v>
      </c>
      <c r="HG43" t="e">
        <f>AND(#REF!,"AAAAADra/9Y=")</f>
        <v>#REF!</v>
      </c>
      <c r="HH43" t="e">
        <f>AND(#REF!,"AAAAADra/9c=")</f>
        <v>#REF!</v>
      </c>
      <c r="HI43" t="e">
        <f>AND(#REF!,"AAAAADra/9g=")</f>
        <v>#REF!</v>
      </c>
      <c r="HJ43" t="e">
        <f>AND(#REF!,"AAAAADra/9k=")</f>
        <v>#REF!</v>
      </c>
      <c r="HK43" t="e">
        <f>AND(#REF!,"AAAAADra/9o=")</f>
        <v>#REF!</v>
      </c>
      <c r="HL43" t="e">
        <f>AND(#REF!,"AAAAADra/9s=")</f>
        <v>#REF!</v>
      </c>
      <c r="HM43" t="e">
        <f>AND(#REF!,"AAAAADra/9w=")</f>
        <v>#REF!</v>
      </c>
      <c r="HN43" t="e">
        <f>AND(#REF!,"AAAAADra/90=")</f>
        <v>#REF!</v>
      </c>
      <c r="HO43" t="e">
        <f>AND(#REF!,"AAAAADra/94=")</f>
        <v>#REF!</v>
      </c>
      <c r="HP43" t="e">
        <f>AND(#REF!,"AAAAADra/98=")</f>
        <v>#REF!</v>
      </c>
      <c r="HQ43" t="e">
        <f>AND(#REF!,"AAAAADra/+A=")</f>
        <v>#REF!</v>
      </c>
      <c r="HR43" t="e">
        <f>AND(#REF!,"AAAAADra/+E=")</f>
        <v>#REF!</v>
      </c>
      <c r="HS43" t="e">
        <f>AND(#REF!,"AAAAADra/+I=")</f>
        <v>#REF!</v>
      </c>
      <c r="HT43" t="e">
        <f>AND(#REF!,"AAAAADra/+M=")</f>
        <v>#REF!</v>
      </c>
      <c r="HU43" t="e">
        <f>AND(#REF!,"AAAAADra/+Q=")</f>
        <v>#REF!</v>
      </c>
      <c r="HV43" t="e">
        <f>AND(#REF!,"AAAAADra/+U=")</f>
        <v>#REF!</v>
      </c>
      <c r="HW43" t="e">
        <f>IF(#REF!,"AAAAADra/+Y=",0)</f>
        <v>#REF!</v>
      </c>
      <c r="HX43" t="e">
        <f>AND(#REF!,"AAAAADra/+c=")</f>
        <v>#REF!</v>
      </c>
      <c r="HY43" t="e">
        <f>AND(#REF!,"AAAAADra/+g=")</f>
        <v>#REF!</v>
      </c>
      <c r="HZ43" t="e">
        <f>AND(#REF!,"AAAAADra/+k=")</f>
        <v>#REF!</v>
      </c>
      <c r="IA43" t="e">
        <f>AND(#REF!,"AAAAADra/+o=")</f>
        <v>#REF!</v>
      </c>
      <c r="IB43" t="e">
        <f>AND(#REF!,"AAAAADra/+s=")</f>
        <v>#REF!</v>
      </c>
      <c r="IC43" t="e">
        <f>AND(#REF!,"AAAAADra/+w=")</f>
        <v>#REF!</v>
      </c>
      <c r="ID43" t="e">
        <f>AND(#REF!,"AAAAADra/+0=")</f>
        <v>#REF!</v>
      </c>
      <c r="IE43" t="e">
        <f>AND(#REF!,"AAAAADra/+4=")</f>
        <v>#REF!</v>
      </c>
      <c r="IF43" t="e">
        <f>AND(#REF!,"AAAAADra/+8=")</f>
        <v>#REF!</v>
      </c>
      <c r="IG43" t="e">
        <f>AND(#REF!,"AAAAADra//A=")</f>
        <v>#REF!</v>
      </c>
      <c r="IH43" t="e">
        <f>AND(#REF!,"AAAAADra//E=")</f>
        <v>#REF!</v>
      </c>
      <c r="II43" t="e">
        <f>AND(#REF!,"AAAAADra//I=")</f>
        <v>#REF!</v>
      </c>
      <c r="IJ43" t="e">
        <f>AND(#REF!,"AAAAADra//M=")</f>
        <v>#REF!</v>
      </c>
      <c r="IK43" t="e">
        <f>AND(#REF!,"AAAAADra//Q=")</f>
        <v>#REF!</v>
      </c>
      <c r="IL43" t="e">
        <f>AND(#REF!,"AAAAADra//U=")</f>
        <v>#REF!</v>
      </c>
      <c r="IM43" t="e">
        <f>AND(#REF!,"AAAAADra//Y=")</f>
        <v>#REF!</v>
      </c>
      <c r="IN43" t="e">
        <f>IF(#REF!,"AAAAADra//c=",0)</f>
        <v>#REF!</v>
      </c>
      <c r="IO43" t="e">
        <f>IF(#REF!,"AAAAADra//g=",0)</f>
        <v>#REF!</v>
      </c>
      <c r="IP43" t="e">
        <f>IF(#REF!,"AAAAADra//k=",0)</f>
        <v>#REF!</v>
      </c>
      <c r="IQ43" t="e">
        <f>IF(#REF!,"AAAAADra//o=",0)</f>
        <v>#REF!</v>
      </c>
      <c r="IR43" t="e">
        <f>IF(#REF!,"AAAAADra//s=",0)</f>
        <v>#REF!</v>
      </c>
      <c r="IS43" t="e">
        <f>IF(#REF!,"AAAAADra//w=",0)</f>
        <v>#REF!</v>
      </c>
      <c r="IT43" t="e">
        <f>IF(#REF!,"AAAAADra//0=",0)</f>
        <v>#REF!</v>
      </c>
      <c r="IU43" t="e">
        <f>IF(#REF!,"AAAAADra//4=",0)</f>
        <v>#REF!</v>
      </c>
      <c r="IV43" t="e">
        <f>IF(#REF!,"AAAAADra//8=",0)</f>
        <v>#REF!</v>
      </c>
    </row>
    <row r="44" spans="1:256">
      <c r="A44" t="e">
        <f>IF(#REF!,"AAAAAA/7/gA=",0)</f>
        <v>#REF!</v>
      </c>
      <c r="B44" t="e">
        <f>IF(#REF!,"AAAAAA/7/gE=",0)</f>
        <v>#REF!</v>
      </c>
      <c r="C44" t="e">
        <f>IF(#REF!,"AAAAAA/7/gI=",0)</f>
        <v>#REF!</v>
      </c>
      <c r="D44" t="e">
        <f>IF(#REF!,"AAAAAA/7/gM=",0)</f>
        <v>#REF!</v>
      </c>
      <c r="E44" t="e">
        <f>IF(#REF!,"AAAAAA/7/gQ=",0)</f>
        <v>#REF!</v>
      </c>
      <c r="F44" t="e">
        <f>IF(#REF!,"AAAAAA/7/gU=",0)</f>
        <v>#REF!</v>
      </c>
      <c r="G44" t="e">
        <f>IF(#REF!,"AAAAAA/7/gY=",0)</f>
        <v>#REF!</v>
      </c>
      <c r="H44" t="e">
        <f>IF(#REF!,"AAAAAA/7/gc=",0)</f>
        <v>#REF!</v>
      </c>
      <c r="I44" t="e">
        <f>IF(#REF!,"AAAAAA/7/gg=",0)</f>
        <v>#REF!</v>
      </c>
      <c r="J44" t="e">
        <f>IF(#REF!,"AAAAAA/7/gk=",0)</f>
        <v>#REF!</v>
      </c>
      <c r="K44" t="e">
        <f>IF(#REF!,"AAAAAA/7/go=",0)</f>
        <v>#REF!</v>
      </c>
      <c r="L44" t="e">
        <f>AND(#REF!,"AAAAAA/7/gs=")</f>
        <v>#REF!</v>
      </c>
      <c r="M44" t="e">
        <f>AND(#REF!,"AAAAAA/7/gw=")</f>
        <v>#REF!</v>
      </c>
      <c r="N44" t="e">
        <f>AND(#REF!,"AAAAAA/7/g0=")</f>
        <v>#REF!</v>
      </c>
      <c r="O44" t="e">
        <f>AND(#REF!,"AAAAAA/7/g4=")</f>
        <v>#REF!</v>
      </c>
      <c r="P44" t="e">
        <f>AND(#REF!,"AAAAAA/7/g8=")</f>
        <v>#REF!</v>
      </c>
      <c r="Q44" t="e">
        <f>AND(#REF!,"AAAAAA/7/hA=")</f>
        <v>#REF!</v>
      </c>
      <c r="R44" t="e">
        <f>AND(#REF!,"AAAAAA/7/hE=")</f>
        <v>#REF!</v>
      </c>
      <c r="S44" t="e">
        <f>AND(#REF!,"AAAAAA/7/hI=")</f>
        <v>#REF!</v>
      </c>
      <c r="T44" t="e">
        <f>AND(#REF!,"AAAAAA/7/hM=")</f>
        <v>#REF!</v>
      </c>
      <c r="U44" t="e">
        <f>AND(#REF!,"AAAAAA/7/hQ=")</f>
        <v>#REF!</v>
      </c>
      <c r="V44" t="e">
        <f>AND(#REF!,"AAAAAA/7/hU=")</f>
        <v>#REF!</v>
      </c>
      <c r="W44" t="e">
        <f>AND(#REF!,"AAAAAA/7/hY=")</f>
        <v>#REF!</v>
      </c>
      <c r="X44" t="e">
        <f>IF(#REF!,"AAAAAA/7/hc=",0)</f>
        <v>#REF!</v>
      </c>
      <c r="Y44" t="e">
        <f>AND(#REF!,"AAAAAA/7/hg=")</f>
        <v>#REF!</v>
      </c>
      <c r="Z44" t="e">
        <f>AND(#REF!,"AAAAAA/7/hk=")</f>
        <v>#REF!</v>
      </c>
      <c r="AA44" t="e">
        <f>AND(#REF!,"AAAAAA/7/ho=")</f>
        <v>#REF!</v>
      </c>
      <c r="AB44" t="e">
        <f>AND(#REF!,"AAAAAA/7/hs=")</f>
        <v>#REF!</v>
      </c>
      <c r="AC44" t="e">
        <f>AND(#REF!,"AAAAAA/7/hw=")</f>
        <v>#REF!</v>
      </c>
      <c r="AD44" t="e">
        <f>AND(#REF!,"AAAAAA/7/h0=")</f>
        <v>#REF!</v>
      </c>
      <c r="AE44" t="e">
        <f>AND(#REF!,"AAAAAA/7/h4=")</f>
        <v>#REF!</v>
      </c>
      <c r="AF44" t="e">
        <f>AND(#REF!,"AAAAAA/7/h8=")</f>
        <v>#REF!</v>
      </c>
      <c r="AG44" t="e">
        <f>AND(#REF!,"AAAAAA/7/iA=")</f>
        <v>#REF!</v>
      </c>
      <c r="AH44" t="e">
        <f>AND(#REF!,"AAAAAA/7/iE=")</f>
        <v>#REF!</v>
      </c>
      <c r="AI44" t="e">
        <f>AND(#REF!,"AAAAAA/7/iI=")</f>
        <v>#REF!</v>
      </c>
      <c r="AJ44" t="e">
        <f>AND(#REF!,"AAAAAA/7/iM=")</f>
        <v>#REF!</v>
      </c>
      <c r="AK44" t="e">
        <f>IF(#REF!,"AAAAAA/7/iQ=",0)</f>
        <v>#REF!</v>
      </c>
      <c r="AL44" t="e">
        <f>AND(#REF!,"AAAAAA/7/iU=")</f>
        <v>#REF!</v>
      </c>
      <c r="AM44" t="e">
        <f>AND(#REF!,"AAAAAA/7/iY=")</f>
        <v>#REF!</v>
      </c>
      <c r="AN44" t="e">
        <f>AND(#REF!,"AAAAAA/7/ic=")</f>
        <v>#REF!</v>
      </c>
      <c r="AO44" t="e">
        <f>AND(#REF!,"AAAAAA/7/ig=")</f>
        <v>#REF!</v>
      </c>
      <c r="AP44" t="e">
        <f>AND(#REF!,"AAAAAA/7/ik=")</f>
        <v>#REF!</v>
      </c>
      <c r="AQ44" t="e">
        <f>AND(#REF!,"AAAAAA/7/io=")</f>
        <v>#REF!</v>
      </c>
      <c r="AR44" t="e">
        <f>AND(#REF!,"AAAAAA/7/is=")</f>
        <v>#REF!</v>
      </c>
      <c r="AS44" t="e">
        <f>AND(#REF!,"AAAAAA/7/iw=")</f>
        <v>#REF!</v>
      </c>
      <c r="AT44" t="e">
        <f>AND(#REF!,"AAAAAA/7/i0=")</f>
        <v>#REF!</v>
      </c>
      <c r="AU44" t="e">
        <f>AND(#REF!,"AAAAAA/7/i4=")</f>
        <v>#REF!</v>
      </c>
      <c r="AV44" t="e">
        <f>AND(#REF!,"AAAAAA/7/i8=")</f>
        <v>#REF!</v>
      </c>
      <c r="AW44" t="e">
        <f>AND(#REF!,"AAAAAA/7/jA=")</f>
        <v>#REF!</v>
      </c>
      <c r="AX44" t="e">
        <f>IF(#REF!,"AAAAAA/7/jE=",0)</f>
        <v>#REF!</v>
      </c>
      <c r="AY44" t="e">
        <f>AND(#REF!,"AAAAAA/7/jI=")</f>
        <v>#REF!</v>
      </c>
      <c r="AZ44" t="e">
        <f>AND(#REF!,"AAAAAA/7/jM=")</f>
        <v>#REF!</v>
      </c>
      <c r="BA44" t="e">
        <f>AND(#REF!,"AAAAAA/7/jQ=")</f>
        <v>#REF!</v>
      </c>
      <c r="BB44" t="e">
        <f>AND(#REF!,"AAAAAA/7/jU=")</f>
        <v>#REF!</v>
      </c>
      <c r="BC44" t="e">
        <f>AND(#REF!,"AAAAAA/7/jY=")</f>
        <v>#REF!</v>
      </c>
      <c r="BD44" t="e">
        <f>AND(#REF!,"AAAAAA/7/jc=")</f>
        <v>#REF!</v>
      </c>
      <c r="BE44" t="e">
        <f>AND(#REF!,"AAAAAA/7/jg=")</f>
        <v>#REF!</v>
      </c>
      <c r="BF44" t="e">
        <f>AND(#REF!,"AAAAAA/7/jk=")</f>
        <v>#REF!</v>
      </c>
      <c r="BG44" t="e">
        <f>AND(#REF!,"AAAAAA/7/jo=")</f>
        <v>#REF!</v>
      </c>
      <c r="BH44" t="e">
        <f>AND(#REF!,"AAAAAA/7/js=")</f>
        <v>#REF!</v>
      </c>
      <c r="BI44" t="e">
        <f>AND(#REF!,"AAAAAA/7/jw=")</f>
        <v>#REF!</v>
      </c>
      <c r="BJ44" t="e">
        <f>AND(#REF!,"AAAAAA/7/j0=")</f>
        <v>#REF!</v>
      </c>
      <c r="BK44" t="e">
        <f>IF(#REF!,"AAAAAA/7/j4=",0)</f>
        <v>#REF!</v>
      </c>
      <c r="BL44" t="e">
        <f>AND(#REF!,"AAAAAA/7/j8=")</f>
        <v>#REF!</v>
      </c>
      <c r="BM44" t="e">
        <f>AND(#REF!,"AAAAAA/7/kA=")</f>
        <v>#REF!</v>
      </c>
      <c r="BN44" t="e">
        <f>AND(#REF!,"AAAAAA/7/kE=")</f>
        <v>#REF!</v>
      </c>
      <c r="BO44" t="e">
        <f>AND(#REF!,"AAAAAA/7/kI=")</f>
        <v>#REF!</v>
      </c>
      <c r="BP44" t="e">
        <f>AND(#REF!,"AAAAAA/7/kM=")</f>
        <v>#REF!</v>
      </c>
      <c r="BQ44" t="e">
        <f>AND(#REF!,"AAAAAA/7/kQ=")</f>
        <v>#REF!</v>
      </c>
      <c r="BR44" t="e">
        <f>AND(#REF!,"AAAAAA/7/kU=")</f>
        <v>#REF!</v>
      </c>
      <c r="BS44" t="e">
        <f>AND(#REF!,"AAAAAA/7/kY=")</f>
        <v>#REF!</v>
      </c>
      <c r="BT44" t="e">
        <f>AND(#REF!,"AAAAAA/7/kc=")</f>
        <v>#REF!</v>
      </c>
      <c r="BU44" t="e">
        <f>AND(#REF!,"AAAAAA/7/kg=")</f>
        <v>#REF!</v>
      </c>
      <c r="BV44" t="e">
        <f>AND(#REF!,"AAAAAA/7/kk=")</f>
        <v>#REF!</v>
      </c>
      <c r="BW44" t="e">
        <f>AND(#REF!,"AAAAAA/7/ko=")</f>
        <v>#REF!</v>
      </c>
      <c r="BX44" t="e">
        <f>IF(#REF!,"AAAAAA/7/ks=",0)</f>
        <v>#REF!</v>
      </c>
      <c r="BY44" t="e">
        <f>AND(#REF!,"AAAAAA/7/kw=")</f>
        <v>#REF!</v>
      </c>
      <c r="BZ44" t="e">
        <f>AND(#REF!,"AAAAAA/7/k0=")</f>
        <v>#REF!</v>
      </c>
      <c r="CA44" t="e">
        <f>AND(#REF!,"AAAAAA/7/k4=")</f>
        <v>#REF!</v>
      </c>
      <c r="CB44" t="e">
        <f>AND(#REF!,"AAAAAA/7/k8=")</f>
        <v>#REF!</v>
      </c>
      <c r="CC44" t="e">
        <f>AND(#REF!,"AAAAAA/7/lA=")</f>
        <v>#REF!</v>
      </c>
      <c r="CD44" t="e">
        <f>AND(#REF!,"AAAAAA/7/lE=")</f>
        <v>#REF!</v>
      </c>
      <c r="CE44" t="e">
        <f>AND(#REF!,"AAAAAA/7/lI=")</f>
        <v>#REF!</v>
      </c>
      <c r="CF44" t="e">
        <f>AND(#REF!,"AAAAAA/7/lM=")</f>
        <v>#REF!</v>
      </c>
      <c r="CG44" t="e">
        <f>AND(#REF!,"AAAAAA/7/lQ=")</f>
        <v>#REF!</v>
      </c>
      <c r="CH44" t="e">
        <f>AND(#REF!,"AAAAAA/7/lU=")</f>
        <v>#REF!</v>
      </c>
      <c r="CI44" t="e">
        <f>AND(#REF!,"AAAAAA/7/lY=")</f>
        <v>#REF!</v>
      </c>
      <c r="CJ44" t="e">
        <f>AND(#REF!,"AAAAAA/7/lc=")</f>
        <v>#REF!</v>
      </c>
      <c r="CK44" t="e">
        <f>IF(#REF!,"AAAAAA/7/lg=",0)</f>
        <v>#REF!</v>
      </c>
      <c r="CL44" t="e">
        <f>AND(#REF!,"AAAAAA/7/lk=")</f>
        <v>#REF!</v>
      </c>
      <c r="CM44" t="e">
        <f>AND(#REF!,"AAAAAA/7/lo=")</f>
        <v>#REF!</v>
      </c>
      <c r="CN44" t="e">
        <f>AND(#REF!,"AAAAAA/7/ls=")</f>
        <v>#REF!</v>
      </c>
      <c r="CO44" t="e">
        <f>AND(#REF!,"AAAAAA/7/lw=")</f>
        <v>#REF!</v>
      </c>
      <c r="CP44" t="e">
        <f>AND(#REF!,"AAAAAA/7/l0=")</f>
        <v>#REF!</v>
      </c>
      <c r="CQ44" t="e">
        <f>AND(#REF!,"AAAAAA/7/l4=")</f>
        <v>#REF!</v>
      </c>
      <c r="CR44" t="e">
        <f>AND(#REF!,"AAAAAA/7/l8=")</f>
        <v>#REF!</v>
      </c>
      <c r="CS44" t="e">
        <f>AND(#REF!,"AAAAAA/7/mA=")</f>
        <v>#REF!</v>
      </c>
      <c r="CT44" t="e">
        <f>AND(#REF!,"AAAAAA/7/mE=")</f>
        <v>#REF!</v>
      </c>
      <c r="CU44" t="e">
        <f>AND(#REF!,"AAAAAA/7/mI=")</f>
        <v>#REF!</v>
      </c>
      <c r="CV44" t="e">
        <f>AND(#REF!,"AAAAAA/7/mM=")</f>
        <v>#REF!</v>
      </c>
      <c r="CW44" t="e">
        <f>AND(#REF!,"AAAAAA/7/mQ=")</f>
        <v>#REF!</v>
      </c>
      <c r="CX44" t="e">
        <f>IF(#REF!,"AAAAAA/7/mU=",0)</f>
        <v>#REF!</v>
      </c>
      <c r="CY44" t="e">
        <f>AND(#REF!,"AAAAAA/7/mY=")</f>
        <v>#REF!</v>
      </c>
      <c r="CZ44" t="e">
        <f>AND(#REF!,"AAAAAA/7/mc=")</f>
        <v>#REF!</v>
      </c>
      <c r="DA44" t="e">
        <f>AND(#REF!,"AAAAAA/7/mg=")</f>
        <v>#REF!</v>
      </c>
      <c r="DB44" t="e">
        <f>AND(#REF!,"AAAAAA/7/mk=")</f>
        <v>#REF!</v>
      </c>
      <c r="DC44" t="e">
        <f>AND(#REF!,"AAAAAA/7/mo=")</f>
        <v>#REF!</v>
      </c>
      <c r="DD44" t="e">
        <f>AND(#REF!,"AAAAAA/7/ms=")</f>
        <v>#REF!</v>
      </c>
      <c r="DE44" t="e">
        <f>AND(#REF!,"AAAAAA/7/mw=")</f>
        <v>#REF!</v>
      </c>
      <c r="DF44" t="e">
        <f>AND(#REF!,"AAAAAA/7/m0=")</f>
        <v>#REF!</v>
      </c>
      <c r="DG44" t="e">
        <f>AND(#REF!,"AAAAAA/7/m4=")</f>
        <v>#REF!</v>
      </c>
      <c r="DH44" t="e">
        <f>AND(#REF!,"AAAAAA/7/m8=")</f>
        <v>#REF!</v>
      </c>
      <c r="DI44" t="e">
        <f>AND(#REF!,"AAAAAA/7/nA=")</f>
        <v>#REF!</v>
      </c>
      <c r="DJ44" t="e">
        <f>AND(#REF!,"AAAAAA/7/nE=")</f>
        <v>#REF!</v>
      </c>
      <c r="DK44" t="e">
        <f>IF(#REF!,"AAAAAA/7/nI=",0)</f>
        <v>#REF!</v>
      </c>
      <c r="DL44" t="e">
        <f>AND(#REF!,"AAAAAA/7/nM=")</f>
        <v>#REF!</v>
      </c>
      <c r="DM44" t="e">
        <f>AND(#REF!,"AAAAAA/7/nQ=")</f>
        <v>#REF!</v>
      </c>
      <c r="DN44" t="e">
        <f>AND(#REF!,"AAAAAA/7/nU=")</f>
        <v>#REF!</v>
      </c>
      <c r="DO44" t="e">
        <f>AND(#REF!,"AAAAAA/7/nY=")</f>
        <v>#REF!</v>
      </c>
      <c r="DP44" t="e">
        <f>AND(#REF!,"AAAAAA/7/nc=")</f>
        <v>#REF!</v>
      </c>
      <c r="DQ44" t="e">
        <f>AND(#REF!,"AAAAAA/7/ng=")</f>
        <v>#REF!</v>
      </c>
      <c r="DR44" t="e">
        <f>AND(#REF!,"AAAAAA/7/nk=")</f>
        <v>#REF!</v>
      </c>
      <c r="DS44" t="e">
        <f>AND(#REF!,"AAAAAA/7/no=")</f>
        <v>#REF!</v>
      </c>
      <c r="DT44" t="e">
        <f>AND(#REF!,"AAAAAA/7/ns=")</f>
        <v>#REF!</v>
      </c>
      <c r="DU44" t="e">
        <f>AND(#REF!,"AAAAAA/7/nw=")</f>
        <v>#REF!</v>
      </c>
      <c r="DV44" t="e">
        <f>AND(#REF!,"AAAAAA/7/n0=")</f>
        <v>#REF!</v>
      </c>
      <c r="DW44" t="e">
        <f>AND(#REF!,"AAAAAA/7/n4=")</f>
        <v>#REF!</v>
      </c>
      <c r="DX44" t="e">
        <f>IF(#REF!,"AAAAAA/7/n8=",0)</f>
        <v>#REF!</v>
      </c>
      <c r="DY44" t="e">
        <f>AND(#REF!,"AAAAAA/7/oA=")</f>
        <v>#REF!</v>
      </c>
      <c r="DZ44" t="e">
        <f>AND(#REF!,"AAAAAA/7/oE=")</f>
        <v>#REF!</v>
      </c>
      <c r="EA44" t="e">
        <f>AND(#REF!,"AAAAAA/7/oI=")</f>
        <v>#REF!</v>
      </c>
      <c r="EB44" t="e">
        <f>AND(#REF!,"AAAAAA/7/oM=")</f>
        <v>#REF!</v>
      </c>
      <c r="EC44" t="e">
        <f>AND(#REF!,"AAAAAA/7/oQ=")</f>
        <v>#REF!</v>
      </c>
      <c r="ED44" t="e">
        <f>AND(#REF!,"AAAAAA/7/oU=")</f>
        <v>#REF!</v>
      </c>
      <c r="EE44" t="e">
        <f>AND(#REF!,"AAAAAA/7/oY=")</f>
        <v>#REF!</v>
      </c>
      <c r="EF44" t="e">
        <f>AND(#REF!,"AAAAAA/7/oc=")</f>
        <v>#REF!</v>
      </c>
      <c r="EG44" t="e">
        <f>AND(#REF!,"AAAAAA/7/og=")</f>
        <v>#REF!</v>
      </c>
      <c r="EH44" t="e">
        <f>AND(#REF!,"AAAAAA/7/ok=")</f>
        <v>#REF!</v>
      </c>
      <c r="EI44" t="e">
        <f>AND(#REF!,"AAAAAA/7/oo=")</f>
        <v>#REF!</v>
      </c>
      <c r="EJ44" t="e">
        <f>AND(#REF!,"AAAAAA/7/os=")</f>
        <v>#REF!</v>
      </c>
      <c r="EK44" t="e">
        <f>IF(#REF!,"AAAAAA/7/ow=",0)</f>
        <v>#REF!</v>
      </c>
      <c r="EL44" t="e">
        <f>AND(#REF!,"AAAAAA/7/o0=")</f>
        <v>#REF!</v>
      </c>
      <c r="EM44" t="e">
        <f>AND(#REF!,"AAAAAA/7/o4=")</f>
        <v>#REF!</v>
      </c>
      <c r="EN44" t="e">
        <f>AND(#REF!,"AAAAAA/7/o8=")</f>
        <v>#REF!</v>
      </c>
      <c r="EO44" t="e">
        <f>AND(#REF!,"AAAAAA/7/pA=")</f>
        <v>#REF!</v>
      </c>
      <c r="EP44" t="e">
        <f>AND(#REF!,"AAAAAA/7/pE=")</f>
        <v>#REF!</v>
      </c>
      <c r="EQ44" t="e">
        <f>AND(#REF!,"AAAAAA/7/pI=")</f>
        <v>#REF!</v>
      </c>
      <c r="ER44" t="e">
        <f>AND(#REF!,"AAAAAA/7/pM=")</f>
        <v>#REF!</v>
      </c>
      <c r="ES44" t="e">
        <f>AND(#REF!,"AAAAAA/7/pQ=")</f>
        <v>#REF!</v>
      </c>
      <c r="ET44" t="e">
        <f>AND(#REF!,"AAAAAA/7/pU=")</f>
        <v>#REF!</v>
      </c>
      <c r="EU44" t="e">
        <f>AND(#REF!,"AAAAAA/7/pY=")</f>
        <v>#REF!</v>
      </c>
      <c r="EV44" t="e">
        <f>AND(#REF!,"AAAAAA/7/pc=")</f>
        <v>#REF!</v>
      </c>
      <c r="EW44" t="e">
        <f>AND(#REF!,"AAAAAA/7/pg=")</f>
        <v>#REF!</v>
      </c>
      <c r="EX44" t="e">
        <f>IF(#REF!,"AAAAAA/7/pk=",0)</f>
        <v>#REF!</v>
      </c>
      <c r="EY44" t="e">
        <f>AND(#REF!,"AAAAAA/7/po=")</f>
        <v>#REF!</v>
      </c>
      <c r="EZ44" t="e">
        <f>AND(#REF!,"AAAAAA/7/ps=")</f>
        <v>#REF!</v>
      </c>
      <c r="FA44" t="e">
        <f>AND(#REF!,"AAAAAA/7/pw=")</f>
        <v>#REF!</v>
      </c>
      <c r="FB44" t="e">
        <f>AND(#REF!,"AAAAAA/7/p0=")</f>
        <v>#REF!</v>
      </c>
      <c r="FC44" t="e">
        <f>AND(#REF!,"AAAAAA/7/p4=")</f>
        <v>#REF!</v>
      </c>
      <c r="FD44" t="e">
        <f>AND(#REF!,"AAAAAA/7/p8=")</f>
        <v>#REF!</v>
      </c>
      <c r="FE44" t="e">
        <f>AND(#REF!,"AAAAAA/7/qA=")</f>
        <v>#REF!</v>
      </c>
      <c r="FF44" t="e">
        <f>AND(#REF!,"AAAAAA/7/qE=")</f>
        <v>#REF!</v>
      </c>
      <c r="FG44" t="e">
        <f>AND(#REF!,"AAAAAA/7/qI=")</f>
        <v>#REF!</v>
      </c>
      <c r="FH44" t="e">
        <f>AND(#REF!,"AAAAAA/7/qM=")</f>
        <v>#REF!</v>
      </c>
      <c r="FI44" t="e">
        <f>AND(#REF!,"AAAAAA/7/qQ=")</f>
        <v>#REF!</v>
      </c>
      <c r="FJ44" t="e">
        <f>AND(#REF!,"AAAAAA/7/qU=")</f>
        <v>#REF!</v>
      </c>
      <c r="FK44" t="e">
        <f>IF(#REF!,"AAAAAA/7/qY=",0)</f>
        <v>#REF!</v>
      </c>
      <c r="FL44" t="e">
        <f>AND(#REF!,"AAAAAA/7/qc=")</f>
        <v>#REF!</v>
      </c>
      <c r="FM44" t="e">
        <f>AND(#REF!,"AAAAAA/7/qg=")</f>
        <v>#REF!</v>
      </c>
      <c r="FN44" t="e">
        <f>AND(#REF!,"AAAAAA/7/qk=")</f>
        <v>#REF!</v>
      </c>
      <c r="FO44" t="e">
        <f>AND(#REF!,"AAAAAA/7/qo=")</f>
        <v>#REF!</v>
      </c>
      <c r="FP44" t="e">
        <f>AND(#REF!,"AAAAAA/7/qs=")</f>
        <v>#REF!</v>
      </c>
      <c r="FQ44" t="e">
        <f>AND(#REF!,"AAAAAA/7/qw=")</f>
        <v>#REF!</v>
      </c>
      <c r="FR44" t="e">
        <f>AND(#REF!,"AAAAAA/7/q0=")</f>
        <v>#REF!</v>
      </c>
      <c r="FS44" t="e">
        <f>AND(#REF!,"AAAAAA/7/q4=")</f>
        <v>#REF!</v>
      </c>
      <c r="FT44" t="e">
        <f>AND(#REF!,"AAAAAA/7/q8=")</f>
        <v>#REF!</v>
      </c>
      <c r="FU44" t="e">
        <f>AND(#REF!,"AAAAAA/7/rA=")</f>
        <v>#REF!</v>
      </c>
      <c r="FV44" t="e">
        <f>AND(#REF!,"AAAAAA/7/rE=")</f>
        <v>#REF!</v>
      </c>
      <c r="FW44" t="e">
        <f>AND(#REF!,"AAAAAA/7/rI=")</f>
        <v>#REF!</v>
      </c>
      <c r="FX44" t="e">
        <f>IF(#REF!,"AAAAAA/7/rM=",0)</f>
        <v>#REF!</v>
      </c>
      <c r="FY44" t="e">
        <f>AND(#REF!,"AAAAAA/7/rQ=")</f>
        <v>#REF!</v>
      </c>
      <c r="FZ44" t="e">
        <f>AND(#REF!,"AAAAAA/7/rU=")</f>
        <v>#REF!</v>
      </c>
      <c r="GA44" t="e">
        <f>AND(#REF!,"AAAAAA/7/rY=")</f>
        <v>#REF!</v>
      </c>
      <c r="GB44" t="e">
        <f>AND(#REF!,"AAAAAA/7/rc=")</f>
        <v>#REF!</v>
      </c>
      <c r="GC44" t="e">
        <f>AND(#REF!,"AAAAAA/7/rg=")</f>
        <v>#REF!</v>
      </c>
      <c r="GD44" t="e">
        <f>AND(#REF!,"AAAAAA/7/rk=")</f>
        <v>#REF!</v>
      </c>
      <c r="GE44" t="e">
        <f>AND(#REF!,"AAAAAA/7/ro=")</f>
        <v>#REF!</v>
      </c>
      <c r="GF44" t="e">
        <f>AND(#REF!,"AAAAAA/7/rs=")</f>
        <v>#REF!</v>
      </c>
      <c r="GG44" t="e">
        <f>AND(#REF!,"AAAAAA/7/rw=")</f>
        <v>#REF!</v>
      </c>
      <c r="GH44" t="e">
        <f>AND(#REF!,"AAAAAA/7/r0=")</f>
        <v>#REF!</v>
      </c>
      <c r="GI44" t="e">
        <f>AND(#REF!,"AAAAAA/7/r4=")</f>
        <v>#REF!</v>
      </c>
      <c r="GJ44" t="e">
        <f>AND(#REF!,"AAAAAA/7/r8=")</f>
        <v>#REF!</v>
      </c>
      <c r="GK44" t="e">
        <f>IF(#REF!,"AAAAAA/7/sA=",0)</f>
        <v>#REF!</v>
      </c>
      <c r="GL44" t="e">
        <f>AND(#REF!,"AAAAAA/7/sE=")</f>
        <v>#REF!</v>
      </c>
      <c r="GM44" t="e">
        <f>AND(#REF!,"AAAAAA/7/sI=")</f>
        <v>#REF!</v>
      </c>
      <c r="GN44" t="e">
        <f>AND(#REF!,"AAAAAA/7/sM=")</f>
        <v>#REF!</v>
      </c>
      <c r="GO44" t="e">
        <f>AND(#REF!,"AAAAAA/7/sQ=")</f>
        <v>#REF!</v>
      </c>
      <c r="GP44" t="e">
        <f>AND(#REF!,"AAAAAA/7/sU=")</f>
        <v>#REF!</v>
      </c>
      <c r="GQ44" t="e">
        <f>AND(#REF!,"AAAAAA/7/sY=")</f>
        <v>#REF!</v>
      </c>
      <c r="GR44" t="e">
        <f>AND(#REF!,"AAAAAA/7/sc=")</f>
        <v>#REF!</v>
      </c>
      <c r="GS44" t="e">
        <f>AND(#REF!,"AAAAAA/7/sg=")</f>
        <v>#REF!</v>
      </c>
      <c r="GT44" t="e">
        <f>AND(#REF!,"AAAAAA/7/sk=")</f>
        <v>#REF!</v>
      </c>
      <c r="GU44" t="e">
        <f>AND(#REF!,"AAAAAA/7/so=")</f>
        <v>#REF!</v>
      </c>
      <c r="GV44" t="e">
        <f>AND(#REF!,"AAAAAA/7/ss=")</f>
        <v>#REF!</v>
      </c>
      <c r="GW44" t="e">
        <f>AND(#REF!,"AAAAAA/7/sw=")</f>
        <v>#REF!</v>
      </c>
      <c r="GX44" t="e">
        <f>IF(#REF!,"AAAAAA/7/s0=",0)</f>
        <v>#REF!</v>
      </c>
      <c r="GY44" t="e">
        <f>AND(#REF!,"AAAAAA/7/s4=")</f>
        <v>#REF!</v>
      </c>
      <c r="GZ44" t="e">
        <f>AND(#REF!,"AAAAAA/7/s8=")</f>
        <v>#REF!</v>
      </c>
      <c r="HA44" t="e">
        <f>AND(#REF!,"AAAAAA/7/tA=")</f>
        <v>#REF!</v>
      </c>
      <c r="HB44" t="e">
        <f>AND(#REF!,"AAAAAA/7/tE=")</f>
        <v>#REF!</v>
      </c>
      <c r="HC44" t="e">
        <f>AND(#REF!,"AAAAAA/7/tI=")</f>
        <v>#REF!</v>
      </c>
      <c r="HD44" t="e">
        <f>AND(#REF!,"AAAAAA/7/tM=")</f>
        <v>#REF!</v>
      </c>
      <c r="HE44" t="e">
        <f>AND(#REF!,"AAAAAA/7/tQ=")</f>
        <v>#REF!</v>
      </c>
      <c r="HF44" t="e">
        <f>AND(#REF!,"AAAAAA/7/tU=")</f>
        <v>#REF!</v>
      </c>
      <c r="HG44" t="e">
        <f>AND(#REF!,"AAAAAA/7/tY=")</f>
        <v>#REF!</v>
      </c>
      <c r="HH44" t="e">
        <f>AND(#REF!,"AAAAAA/7/tc=")</f>
        <v>#REF!</v>
      </c>
      <c r="HI44" t="e">
        <f>AND(#REF!,"AAAAAA/7/tg=")</f>
        <v>#REF!</v>
      </c>
      <c r="HJ44" t="e">
        <f>AND(#REF!,"AAAAAA/7/tk=")</f>
        <v>#REF!</v>
      </c>
      <c r="HK44" t="e">
        <f>IF(#REF!,"AAAAAA/7/to=",0)</f>
        <v>#REF!</v>
      </c>
      <c r="HL44" t="e">
        <f>AND(#REF!,"AAAAAA/7/ts=")</f>
        <v>#REF!</v>
      </c>
      <c r="HM44" t="e">
        <f>AND(#REF!,"AAAAAA/7/tw=")</f>
        <v>#REF!</v>
      </c>
      <c r="HN44" t="e">
        <f>AND(#REF!,"AAAAAA/7/t0=")</f>
        <v>#REF!</v>
      </c>
      <c r="HO44" t="e">
        <f>AND(#REF!,"AAAAAA/7/t4=")</f>
        <v>#REF!</v>
      </c>
      <c r="HP44" t="e">
        <f>AND(#REF!,"AAAAAA/7/t8=")</f>
        <v>#REF!</v>
      </c>
      <c r="HQ44" t="e">
        <f>AND(#REF!,"AAAAAA/7/uA=")</f>
        <v>#REF!</v>
      </c>
      <c r="HR44" t="e">
        <f>AND(#REF!,"AAAAAA/7/uE=")</f>
        <v>#REF!</v>
      </c>
      <c r="HS44" t="e">
        <f>AND(#REF!,"AAAAAA/7/uI=")</f>
        <v>#REF!</v>
      </c>
      <c r="HT44" t="e">
        <f>AND(#REF!,"AAAAAA/7/uM=")</f>
        <v>#REF!</v>
      </c>
      <c r="HU44" t="e">
        <f>AND(#REF!,"AAAAAA/7/uQ=")</f>
        <v>#REF!</v>
      </c>
      <c r="HV44" t="e">
        <f>AND(#REF!,"AAAAAA/7/uU=")</f>
        <v>#REF!</v>
      </c>
      <c r="HW44" t="e">
        <f>AND(#REF!,"AAAAAA/7/uY=")</f>
        <v>#REF!</v>
      </c>
      <c r="HX44" t="e">
        <f>IF(#REF!,"AAAAAA/7/uc=",0)</f>
        <v>#REF!</v>
      </c>
      <c r="HY44" t="e">
        <f>AND(#REF!,"AAAAAA/7/ug=")</f>
        <v>#REF!</v>
      </c>
      <c r="HZ44" t="e">
        <f>AND(#REF!,"AAAAAA/7/uk=")</f>
        <v>#REF!</v>
      </c>
      <c r="IA44" t="e">
        <f>AND(#REF!,"AAAAAA/7/uo=")</f>
        <v>#REF!</v>
      </c>
      <c r="IB44" t="e">
        <f>AND(#REF!,"AAAAAA/7/us=")</f>
        <v>#REF!</v>
      </c>
      <c r="IC44" t="e">
        <f>AND(#REF!,"AAAAAA/7/uw=")</f>
        <v>#REF!</v>
      </c>
      <c r="ID44" t="e">
        <f>AND(#REF!,"AAAAAA/7/u0=")</f>
        <v>#REF!</v>
      </c>
      <c r="IE44" t="e">
        <f>AND(#REF!,"AAAAAA/7/u4=")</f>
        <v>#REF!</v>
      </c>
      <c r="IF44" t="e">
        <f>AND(#REF!,"AAAAAA/7/u8=")</f>
        <v>#REF!</v>
      </c>
      <c r="IG44" t="e">
        <f>AND(#REF!,"AAAAAA/7/vA=")</f>
        <v>#REF!</v>
      </c>
      <c r="IH44" t="e">
        <f>AND(#REF!,"AAAAAA/7/vE=")</f>
        <v>#REF!</v>
      </c>
      <c r="II44" t="e">
        <f>AND(#REF!,"AAAAAA/7/vI=")</f>
        <v>#REF!</v>
      </c>
      <c r="IJ44" t="e">
        <f>AND(#REF!,"AAAAAA/7/vM=")</f>
        <v>#REF!</v>
      </c>
      <c r="IK44" t="e">
        <f>IF(#REF!,"AAAAAA/7/vQ=",0)</f>
        <v>#REF!</v>
      </c>
      <c r="IL44" t="e">
        <f>AND(#REF!,"AAAAAA/7/vU=")</f>
        <v>#REF!</v>
      </c>
      <c r="IM44" t="e">
        <f>AND(#REF!,"AAAAAA/7/vY=")</f>
        <v>#REF!</v>
      </c>
      <c r="IN44" t="e">
        <f>AND(#REF!,"AAAAAA/7/vc=")</f>
        <v>#REF!</v>
      </c>
      <c r="IO44" t="e">
        <f>AND(#REF!,"AAAAAA/7/vg=")</f>
        <v>#REF!</v>
      </c>
      <c r="IP44" t="e">
        <f>AND(#REF!,"AAAAAA/7/vk=")</f>
        <v>#REF!</v>
      </c>
      <c r="IQ44" t="e">
        <f>AND(#REF!,"AAAAAA/7/vo=")</f>
        <v>#REF!</v>
      </c>
      <c r="IR44" t="e">
        <f>AND(#REF!,"AAAAAA/7/vs=")</f>
        <v>#REF!</v>
      </c>
      <c r="IS44" t="e">
        <f>AND(#REF!,"AAAAAA/7/vw=")</f>
        <v>#REF!</v>
      </c>
      <c r="IT44" t="e">
        <f>AND(#REF!,"AAAAAA/7/v0=")</f>
        <v>#REF!</v>
      </c>
      <c r="IU44" t="e">
        <f>AND(#REF!,"AAAAAA/7/v4=")</f>
        <v>#REF!</v>
      </c>
      <c r="IV44" t="e">
        <f>AND(#REF!,"AAAAAA/7/v8=")</f>
        <v>#REF!</v>
      </c>
    </row>
    <row r="45" spans="1:256">
      <c r="A45" t="e">
        <f>AND(#REF!,"AAAAAA2+vgA=")</f>
        <v>#REF!</v>
      </c>
      <c r="B45" t="e">
        <f>IF(#REF!,"AAAAAA2+vgE=",0)</f>
        <v>#REF!</v>
      </c>
      <c r="C45" t="e">
        <f>AND(#REF!,"AAAAAA2+vgI=")</f>
        <v>#REF!</v>
      </c>
      <c r="D45" t="e">
        <f>AND(#REF!,"AAAAAA2+vgM=")</f>
        <v>#REF!</v>
      </c>
      <c r="E45" t="e">
        <f>AND(#REF!,"AAAAAA2+vgQ=")</f>
        <v>#REF!</v>
      </c>
      <c r="F45" t="e">
        <f>AND(#REF!,"AAAAAA2+vgU=")</f>
        <v>#REF!</v>
      </c>
      <c r="G45" t="e">
        <f>AND(#REF!,"AAAAAA2+vgY=")</f>
        <v>#REF!</v>
      </c>
      <c r="H45" t="e">
        <f>AND(#REF!,"AAAAAA2+vgc=")</f>
        <v>#REF!</v>
      </c>
      <c r="I45" t="e">
        <f>AND(#REF!,"AAAAAA2+vgg=")</f>
        <v>#REF!</v>
      </c>
      <c r="J45" t="e">
        <f>AND(#REF!,"AAAAAA2+vgk=")</f>
        <v>#REF!</v>
      </c>
      <c r="K45" t="e">
        <f>AND(#REF!,"AAAAAA2+vgo=")</f>
        <v>#REF!</v>
      </c>
      <c r="L45" t="e">
        <f>AND(#REF!,"AAAAAA2+vgs=")</f>
        <v>#REF!</v>
      </c>
      <c r="M45" t="e">
        <f>AND(#REF!,"AAAAAA2+vgw=")</f>
        <v>#REF!</v>
      </c>
      <c r="N45" t="e">
        <f>AND(#REF!,"AAAAAA2+vg0=")</f>
        <v>#REF!</v>
      </c>
      <c r="O45" t="e">
        <f>IF(#REF!,"AAAAAA2+vg4=",0)</f>
        <v>#REF!</v>
      </c>
      <c r="P45" t="e">
        <f>AND(#REF!,"AAAAAA2+vg8=")</f>
        <v>#REF!</v>
      </c>
      <c r="Q45" t="e">
        <f>AND(#REF!,"AAAAAA2+vhA=")</f>
        <v>#REF!</v>
      </c>
      <c r="R45" t="e">
        <f>AND(#REF!,"AAAAAA2+vhE=")</f>
        <v>#REF!</v>
      </c>
      <c r="S45" t="e">
        <f>AND(#REF!,"AAAAAA2+vhI=")</f>
        <v>#REF!</v>
      </c>
      <c r="T45" t="e">
        <f>AND(#REF!,"AAAAAA2+vhM=")</f>
        <v>#REF!</v>
      </c>
      <c r="U45" t="e">
        <f>AND(#REF!,"AAAAAA2+vhQ=")</f>
        <v>#REF!</v>
      </c>
      <c r="V45" t="e">
        <f>AND(#REF!,"AAAAAA2+vhU=")</f>
        <v>#REF!</v>
      </c>
      <c r="W45" t="e">
        <f>AND(#REF!,"AAAAAA2+vhY=")</f>
        <v>#REF!</v>
      </c>
      <c r="X45" t="e">
        <f>AND(#REF!,"AAAAAA2+vhc=")</f>
        <v>#REF!</v>
      </c>
      <c r="Y45" t="e">
        <f>AND(#REF!,"AAAAAA2+vhg=")</f>
        <v>#REF!</v>
      </c>
      <c r="Z45" t="e">
        <f>AND(#REF!,"AAAAAA2+vhk=")</f>
        <v>#REF!</v>
      </c>
      <c r="AA45" t="e">
        <f>AND(#REF!,"AAAAAA2+vho=")</f>
        <v>#REF!</v>
      </c>
      <c r="AB45" t="e">
        <f>IF(#REF!,"AAAAAA2+vhs=",0)</f>
        <v>#REF!</v>
      </c>
      <c r="AC45" t="e">
        <f>AND(#REF!,"AAAAAA2+vhw=")</f>
        <v>#REF!</v>
      </c>
      <c r="AD45" t="e">
        <f>AND(#REF!,"AAAAAA2+vh0=")</f>
        <v>#REF!</v>
      </c>
      <c r="AE45" t="e">
        <f>AND(#REF!,"AAAAAA2+vh4=")</f>
        <v>#REF!</v>
      </c>
      <c r="AF45" t="e">
        <f>AND(#REF!,"AAAAAA2+vh8=")</f>
        <v>#REF!</v>
      </c>
      <c r="AG45" t="e">
        <f>AND(#REF!,"AAAAAA2+viA=")</f>
        <v>#REF!</v>
      </c>
      <c r="AH45" t="e">
        <f>AND(#REF!,"AAAAAA2+viE=")</f>
        <v>#REF!</v>
      </c>
      <c r="AI45" t="e">
        <f>AND(#REF!,"AAAAAA2+viI=")</f>
        <v>#REF!</v>
      </c>
      <c r="AJ45" t="e">
        <f>AND(#REF!,"AAAAAA2+viM=")</f>
        <v>#REF!</v>
      </c>
      <c r="AK45" t="e">
        <f>AND(#REF!,"AAAAAA2+viQ=")</f>
        <v>#REF!</v>
      </c>
      <c r="AL45" t="e">
        <f>AND(#REF!,"AAAAAA2+viU=")</f>
        <v>#REF!</v>
      </c>
      <c r="AM45" t="e">
        <f>AND(#REF!,"AAAAAA2+viY=")</f>
        <v>#REF!</v>
      </c>
      <c r="AN45" t="e">
        <f>AND(#REF!,"AAAAAA2+vic=")</f>
        <v>#REF!</v>
      </c>
      <c r="AO45" t="e">
        <f>IF(#REF!,"AAAAAA2+vig=",0)</f>
        <v>#REF!</v>
      </c>
      <c r="AP45" t="e">
        <f>AND(#REF!,"AAAAAA2+vik=")</f>
        <v>#REF!</v>
      </c>
      <c r="AQ45" t="e">
        <f>AND(#REF!,"AAAAAA2+vio=")</f>
        <v>#REF!</v>
      </c>
      <c r="AR45" t="e">
        <f>AND(#REF!,"AAAAAA2+vis=")</f>
        <v>#REF!</v>
      </c>
      <c r="AS45" t="e">
        <f>AND(#REF!,"AAAAAA2+viw=")</f>
        <v>#REF!</v>
      </c>
      <c r="AT45" t="e">
        <f>AND(#REF!,"AAAAAA2+vi0=")</f>
        <v>#REF!</v>
      </c>
      <c r="AU45" t="e">
        <f>AND(#REF!,"AAAAAA2+vi4=")</f>
        <v>#REF!</v>
      </c>
      <c r="AV45" t="e">
        <f>AND(#REF!,"AAAAAA2+vi8=")</f>
        <v>#REF!</v>
      </c>
      <c r="AW45" t="e">
        <f>AND(#REF!,"AAAAAA2+vjA=")</f>
        <v>#REF!</v>
      </c>
      <c r="AX45" t="e">
        <f>AND(#REF!,"AAAAAA2+vjE=")</f>
        <v>#REF!</v>
      </c>
      <c r="AY45" t="e">
        <f>AND(#REF!,"AAAAAA2+vjI=")</f>
        <v>#REF!</v>
      </c>
      <c r="AZ45" t="e">
        <f>AND(#REF!,"AAAAAA2+vjM=")</f>
        <v>#REF!</v>
      </c>
      <c r="BA45" t="e">
        <f>AND(#REF!,"AAAAAA2+vjQ=")</f>
        <v>#REF!</v>
      </c>
      <c r="BB45" t="e">
        <f>IF(#REF!,"AAAAAA2+vjU=",0)</f>
        <v>#REF!</v>
      </c>
      <c r="BC45" t="e">
        <f>AND(#REF!,"AAAAAA2+vjY=")</f>
        <v>#REF!</v>
      </c>
      <c r="BD45" t="e">
        <f>AND(#REF!,"AAAAAA2+vjc=")</f>
        <v>#REF!</v>
      </c>
      <c r="BE45" t="e">
        <f>AND(#REF!,"AAAAAA2+vjg=")</f>
        <v>#REF!</v>
      </c>
      <c r="BF45" t="e">
        <f>AND(#REF!,"AAAAAA2+vjk=")</f>
        <v>#REF!</v>
      </c>
      <c r="BG45" t="e">
        <f>AND(#REF!,"AAAAAA2+vjo=")</f>
        <v>#REF!</v>
      </c>
      <c r="BH45" t="e">
        <f>AND(#REF!,"AAAAAA2+vjs=")</f>
        <v>#REF!</v>
      </c>
      <c r="BI45" t="e">
        <f>AND(#REF!,"AAAAAA2+vjw=")</f>
        <v>#REF!</v>
      </c>
      <c r="BJ45" t="e">
        <f>AND(#REF!,"AAAAAA2+vj0=")</f>
        <v>#REF!</v>
      </c>
      <c r="BK45" t="e">
        <f>AND(#REF!,"AAAAAA2+vj4=")</f>
        <v>#REF!</v>
      </c>
      <c r="BL45" t="e">
        <f>AND(#REF!,"AAAAAA2+vj8=")</f>
        <v>#REF!</v>
      </c>
      <c r="BM45" t="e">
        <f>AND(#REF!,"AAAAAA2+vkA=")</f>
        <v>#REF!</v>
      </c>
      <c r="BN45" t="e">
        <f>AND(#REF!,"AAAAAA2+vkE=")</f>
        <v>#REF!</v>
      </c>
      <c r="BO45" t="e">
        <f>IF(#REF!,"AAAAAA2+vkI=",0)</f>
        <v>#REF!</v>
      </c>
      <c r="BP45" t="e">
        <f>AND(#REF!,"AAAAAA2+vkM=")</f>
        <v>#REF!</v>
      </c>
      <c r="BQ45" t="e">
        <f>AND(#REF!,"AAAAAA2+vkQ=")</f>
        <v>#REF!</v>
      </c>
      <c r="BR45" t="e">
        <f>AND(#REF!,"AAAAAA2+vkU=")</f>
        <v>#REF!</v>
      </c>
      <c r="BS45" t="e">
        <f>AND(#REF!,"AAAAAA2+vkY=")</f>
        <v>#REF!</v>
      </c>
      <c r="BT45" t="e">
        <f>AND(#REF!,"AAAAAA2+vkc=")</f>
        <v>#REF!</v>
      </c>
      <c r="BU45" t="e">
        <f>AND(#REF!,"AAAAAA2+vkg=")</f>
        <v>#REF!</v>
      </c>
      <c r="BV45" t="e">
        <f>AND(#REF!,"AAAAAA2+vkk=")</f>
        <v>#REF!</v>
      </c>
      <c r="BW45" t="e">
        <f>AND(#REF!,"AAAAAA2+vko=")</f>
        <v>#REF!</v>
      </c>
      <c r="BX45" t="e">
        <f>AND(#REF!,"AAAAAA2+vks=")</f>
        <v>#REF!</v>
      </c>
      <c r="BY45" t="e">
        <f>AND(#REF!,"AAAAAA2+vkw=")</f>
        <v>#REF!</v>
      </c>
      <c r="BZ45" t="e">
        <f>AND(#REF!,"AAAAAA2+vk0=")</f>
        <v>#REF!</v>
      </c>
      <c r="CA45" t="e">
        <f>AND(#REF!,"AAAAAA2+vk4=")</f>
        <v>#REF!</v>
      </c>
      <c r="CB45" t="e">
        <f>IF(#REF!,"AAAAAA2+vk8=",0)</f>
        <v>#REF!</v>
      </c>
      <c r="CC45" t="e">
        <f>AND(#REF!,"AAAAAA2+vlA=")</f>
        <v>#REF!</v>
      </c>
      <c r="CD45" t="e">
        <f>AND(#REF!,"AAAAAA2+vlE=")</f>
        <v>#REF!</v>
      </c>
      <c r="CE45" t="e">
        <f>AND(#REF!,"AAAAAA2+vlI=")</f>
        <v>#REF!</v>
      </c>
      <c r="CF45" t="e">
        <f>AND(#REF!,"AAAAAA2+vlM=")</f>
        <v>#REF!</v>
      </c>
      <c r="CG45" t="e">
        <f>AND(#REF!,"AAAAAA2+vlQ=")</f>
        <v>#REF!</v>
      </c>
      <c r="CH45" t="e">
        <f>AND(#REF!,"AAAAAA2+vlU=")</f>
        <v>#REF!</v>
      </c>
      <c r="CI45" t="e">
        <f>AND(#REF!,"AAAAAA2+vlY=")</f>
        <v>#REF!</v>
      </c>
      <c r="CJ45" t="e">
        <f>AND(#REF!,"AAAAAA2+vlc=")</f>
        <v>#REF!</v>
      </c>
      <c r="CK45" t="e">
        <f>AND(#REF!,"AAAAAA2+vlg=")</f>
        <v>#REF!</v>
      </c>
      <c r="CL45" t="e">
        <f>AND(#REF!,"AAAAAA2+vlk=")</f>
        <v>#REF!</v>
      </c>
      <c r="CM45" t="e">
        <f>AND(#REF!,"AAAAAA2+vlo=")</f>
        <v>#REF!</v>
      </c>
      <c r="CN45" t="e">
        <f>AND(#REF!,"AAAAAA2+vls=")</f>
        <v>#REF!</v>
      </c>
      <c r="CO45" t="e">
        <f>IF(#REF!,"AAAAAA2+vlw=",0)</f>
        <v>#REF!</v>
      </c>
      <c r="CP45" t="e">
        <f>AND(#REF!,"AAAAAA2+vl0=")</f>
        <v>#REF!</v>
      </c>
      <c r="CQ45" t="e">
        <f>AND(#REF!,"AAAAAA2+vl4=")</f>
        <v>#REF!</v>
      </c>
      <c r="CR45" t="e">
        <f>AND(#REF!,"AAAAAA2+vl8=")</f>
        <v>#REF!</v>
      </c>
      <c r="CS45" t="e">
        <f>AND(#REF!,"AAAAAA2+vmA=")</f>
        <v>#REF!</v>
      </c>
      <c r="CT45" t="e">
        <f>AND(#REF!,"AAAAAA2+vmE=")</f>
        <v>#REF!</v>
      </c>
      <c r="CU45" t="e">
        <f>AND(#REF!,"AAAAAA2+vmI=")</f>
        <v>#REF!</v>
      </c>
      <c r="CV45" t="e">
        <f>AND(#REF!,"AAAAAA2+vmM=")</f>
        <v>#REF!</v>
      </c>
      <c r="CW45" t="e">
        <f>AND(#REF!,"AAAAAA2+vmQ=")</f>
        <v>#REF!</v>
      </c>
      <c r="CX45" t="e">
        <f>AND(#REF!,"AAAAAA2+vmU=")</f>
        <v>#REF!</v>
      </c>
      <c r="CY45" t="e">
        <f>AND(#REF!,"AAAAAA2+vmY=")</f>
        <v>#REF!</v>
      </c>
      <c r="CZ45" t="e">
        <f>AND(#REF!,"AAAAAA2+vmc=")</f>
        <v>#REF!</v>
      </c>
      <c r="DA45" t="e">
        <f>AND(#REF!,"AAAAAA2+vmg=")</f>
        <v>#REF!</v>
      </c>
      <c r="DB45" t="e">
        <f>IF(#REF!,"AAAAAA2+vmk=",0)</f>
        <v>#REF!</v>
      </c>
      <c r="DC45" t="e">
        <f>AND(#REF!,"AAAAAA2+vmo=")</f>
        <v>#REF!</v>
      </c>
      <c r="DD45" t="e">
        <f>AND(#REF!,"AAAAAA2+vms=")</f>
        <v>#REF!</v>
      </c>
      <c r="DE45" t="e">
        <f>AND(#REF!,"AAAAAA2+vmw=")</f>
        <v>#REF!</v>
      </c>
      <c r="DF45" t="e">
        <f>AND(#REF!,"AAAAAA2+vm0=")</f>
        <v>#REF!</v>
      </c>
      <c r="DG45" t="e">
        <f>AND(#REF!,"AAAAAA2+vm4=")</f>
        <v>#REF!</v>
      </c>
      <c r="DH45" t="e">
        <f>AND(#REF!,"AAAAAA2+vm8=")</f>
        <v>#REF!</v>
      </c>
      <c r="DI45" t="e">
        <f>AND(#REF!,"AAAAAA2+vnA=")</f>
        <v>#REF!</v>
      </c>
      <c r="DJ45" t="e">
        <f>AND(#REF!,"AAAAAA2+vnE=")</f>
        <v>#REF!</v>
      </c>
      <c r="DK45" t="e">
        <f>AND(#REF!,"AAAAAA2+vnI=")</f>
        <v>#REF!</v>
      </c>
      <c r="DL45" t="e">
        <f>AND(#REF!,"AAAAAA2+vnM=")</f>
        <v>#REF!</v>
      </c>
      <c r="DM45" t="e">
        <f>AND(#REF!,"AAAAAA2+vnQ=")</f>
        <v>#REF!</v>
      </c>
      <c r="DN45" t="e">
        <f>AND(#REF!,"AAAAAA2+vnU=")</f>
        <v>#REF!</v>
      </c>
      <c r="DO45" t="e">
        <f>IF(#REF!,"AAAAAA2+vnY=",0)</f>
        <v>#REF!</v>
      </c>
      <c r="DP45" t="e">
        <f>AND(#REF!,"AAAAAA2+vnc=")</f>
        <v>#REF!</v>
      </c>
      <c r="DQ45" t="e">
        <f>AND(#REF!,"AAAAAA2+vng=")</f>
        <v>#REF!</v>
      </c>
      <c r="DR45" t="e">
        <f>AND(#REF!,"AAAAAA2+vnk=")</f>
        <v>#REF!</v>
      </c>
      <c r="DS45" t="e">
        <f>AND(#REF!,"AAAAAA2+vno=")</f>
        <v>#REF!</v>
      </c>
      <c r="DT45" t="e">
        <f>AND(#REF!,"AAAAAA2+vns=")</f>
        <v>#REF!</v>
      </c>
      <c r="DU45" t="e">
        <f>AND(#REF!,"AAAAAA2+vnw=")</f>
        <v>#REF!</v>
      </c>
      <c r="DV45" t="e">
        <f>AND(#REF!,"AAAAAA2+vn0=")</f>
        <v>#REF!</v>
      </c>
      <c r="DW45" t="e">
        <f>AND(#REF!,"AAAAAA2+vn4=")</f>
        <v>#REF!</v>
      </c>
      <c r="DX45" t="e">
        <f>AND(#REF!,"AAAAAA2+vn8=")</f>
        <v>#REF!</v>
      </c>
      <c r="DY45" t="e">
        <f>AND(#REF!,"AAAAAA2+voA=")</f>
        <v>#REF!</v>
      </c>
      <c r="DZ45" t="e">
        <f>AND(#REF!,"AAAAAA2+voE=")</f>
        <v>#REF!</v>
      </c>
      <c r="EA45" t="e">
        <f>AND(#REF!,"AAAAAA2+voI=")</f>
        <v>#REF!</v>
      </c>
      <c r="EB45" t="e">
        <f>IF(#REF!,"AAAAAA2+voM=",0)</f>
        <v>#REF!</v>
      </c>
      <c r="EC45" t="e">
        <f>AND(#REF!,"AAAAAA2+voQ=")</f>
        <v>#REF!</v>
      </c>
      <c r="ED45" t="e">
        <f>AND(#REF!,"AAAAAA2+voU=")</f>
        <v>#REF!</v>
      </c>
      <c r="EE45" t="e">
        <f>AND(#REF!,"AAAAAA2+voY=")</f>
        <v>#REF!</v>
      </c>
      <c r="EF45" t="e">
        <f>AND(#REF!,"AAAAAA2+voc=")</f>
        <v>#REF!</v>
      </c>
      <c r="EG45" t="e">
        <f>AND(#REF!,"AAAAAA2+vog=")</f>
        <v>#REF!</v>
      </c>
      <c r="EH45" t="e">
        <f>AND(#REF!,"AAAAAA2+vok=")</f>
        <v>#REF!</v>
      </c>
      <c r="EI45" t="e">
        <f>AND(#REF!,"AAAAAA2+voo=")</f>
        <v>#REF!</v>
      </c>
      <c r="EJ45" t="e">
        <f>AND(#REF!,"AAAAAA2+vos=")</f>
        <v>#REF!</v>
      </c>
      <c r="EK45" t="e">
        <f>AND(#REF!,"AAAAAA2+vow=")</f>
        <v>#REF!</v>
      </c>
      <c r="EL45" t="e">
        <f>AND(#REF!,"AAAAAA2+vo0=")</f>
        <v>#REF!</v>
      </c>
      <c r="EM45" t="e">
        <f>AND(#REF!,"AAAAAA2+vo4=")</f>
        <v>#REF!</v>
      </c>
      <c r="EN45" t="e">
        <f>AND(#REF!,"AAAAAA2+vo8=")</f>
        <v>#REF!</v>
      </c>
      <c r="EO45" t="e">
        <f>IF(#REF!,"AAAAAA2+vpA=",0)</f>
        <v>#REF!</v>
      </c>
      <c r="EP45" t="e">
        <f>AND(#REF!,"AAAAAA2+vpE=")</f>
        <v>#REF!</v>
      </c>
      <c r="EQ45" t="e">
        <f>AND(#REF!,"AAAAAA2+vpI=")</f>
        <v>#REF!</v>
      </c>
      <c r="ER45" t="e">
        <f>AND(#REF!,"AAAAAA2+vpM=")</f>
        <v>#REF!</v>
      </c>
      <c r="ES45" t="e">
        <f>AND(#REF!,"AAAAAA2+vpQ=")</f>
        <v>#REF!</v>
      </c>
      <c r="ET45" t="e">
        <f>AND(#REF!,"AAAAAA2+vpU=")</f>
        <v>#REF!</v>
      </c>
      <c r="EU45" t="e">
        <f>AND(#REF!,"AAAAAA2+vpY=")</f>
        <v>#REF!</v>
      </c>
      <c r="EV45" t="e">
        <f>AND(#REF!,"AAAAAA2+vpc=")</f>
        <v>#REF!</v>
      </c>
      <c r="EW45" t="e">
        <f>AND(#REF!,"AAAAAA2+vpg=")</f>
        <v>#REF!</v>
      </c>
      <c r="EX45" t="e">
        <f>AND(#REF!,"AAAAAA2+vpk=")</f>
        <v>#REF!</v>
      </c>
      <c r="EY45" t="e">
        <f>AND(#REF!,"AAAAAA2+vpo=")</f>
        <v>#REF!</v>
      </c>
      <c r="EZ45" t="e">
        <f>AND(#REF!,"AAAAAA2+vps=")</f>
        <v>#REF!</v>
      </c>
      <c r="FA45" t="e">
        <f>AND(#REF!,"AAAAAA2+vpw=")</f>
        <v>#REF!</v>
      </c>
      <c r="FB45" t="e">
        <f>IF(#REF!,"AAAAAA2+vp0=",0)</f>
        <v>#REF!</v>
      </c>
      <c r="FC45" t="e">
        <f>AND(#REF!,"AAAAAA2+vp4=")</f>
        <v>#REF!</v>
      </c>
      <c r="FD45" t="e">
        <f>AND(#REF!,"AAAAAA2+vp8=")</f>
        <v>#REF!</v>
      </c>
      <c r="FE45" t="e">
        <f>AND(#REF!,"AAAAAA2+vqA=")</f>
        <v>#REF!</v>
      </c>
      <c r="FF45" t="e">
        <f>AND(#REF!,"AAAAAA2+vqE=")</f>
        <v>#REF!</v>
      </c>
      <c r="FG45" t="e">
        <f>AND(#REF!,"AAAAAA2+vqI=")</f>
        <v>#REF!</v>
      </c>
      <c r="FH45" t="e">
        <f>AND(#REF!,"AAAAAA2+vqM=")</f>
        <v>#REF!</v>
      </c>
      <c r="FI45" t="e">
        <f>AND(#REF!,"AAAAAA2+vqQ=")</f>
        <v>#REF!</v>
      </c>
      <c r="FJ45" t="e">
        <f>AND(#REF!,"AAAAAA2+vqU=")</f>
        <v>#REF!</v>
      </c>
      <c r="FK45" t="e">
        <f>AND(#REF!,"AAAAAA2+vqY=")</f>
        <v>#REF!</v>
      </c>
      <c r="FL45" t="e">
        <f>AND(#REF!,"AAAAAA2+vqc=")</f>
        <v>#REF!</v>
      </c>
      <c r="FM45" t="e">
        <f>AND(#REF!,"AAAAAA2+vqg=")</f>
        <v>#REF!</v>
      </c>
      <c r="FN45" t="e">
        <f>AND(#REF!,"AAAAAA2+vqk=")</f>
        <v>#REF!</v>
      </c>
      <c r="FO45" t="e">
        <f>IF(#REF!,"AAAAAA2+vqo=",0)</f>
        <v>#REF!</v>
      </c>
      <c r="FP45" t="e">
        <f>AND(#REF!,"AAAAAA2+vqs=")</f>
        <v>#REF!</v>
      </c>
      <c r="FQ45" t="e">
        <f>AND(#REF!,"AAAAAA2+vqw=")</f>
        <v>#REF!</v>
      </c>
      <c r="FR45" t="e">
        <f>AND(#REF!,"AAAAAA2+vq0=")</f>
        <v>#REF!</v>
      </c>
      <c r="FS45" t="e">
        <f>AND(#REF!,"AAAAAA2+vq4=")</f>
        <v>#REF!</v>
      </c>
      <c r="FT45" t="e">
        <f>AND(#REF!,"AAAAAA2+vq8=")</f>
        <v>#REF!</v>
      </c>
      <c r="FU45" t="e">
        <f>AND(#REF!,"AAAAAA2+vrA=")</f>
        <v>#REF!</v>
      </c>
      <c r="FV45" t="e">
        <f>AND(#REF!,"AAAAAA2+vrE=")</f>
        <v>#REF!</v>
      </c>
      <c r="FW45" t="e">
        <f>AND(#REF!,"AAAAAA2+vrI=")</f>
        <v>#REF!</v>
      </c>
      <c r="FX45" t="e">
        <f>AND(#REF!,"AAAAAA2+vrM=")</f>
        <v>#REF!</v>
      </c>
      <c r="FY45" t="e">
        <f>AND(#REF!,"AAAAAA2+vrQ=")</f>
        <v>#REF!</v>
      </c>
      <c r="FZ45" t="e">
        <f>AND(#REF!,"AAAAAA2+vrU=")</f>
        <v>#REF!</v>
      </c>
      <c r="GA45" t="e">
        <f>AND(#REF!,"AAAAAA2+vrY=")</f>
        <v>#REF!</v>
      </c>
      <c r="GB45" t="e">
        <f>IF(#REF!,"AAAAAA2+vrc=",0)</f>
        <v>#REF!</v>
      </c>
      <c r="GC45" t="e">
        <f>AND(#REF!,"AAAAAA2+vrg=")</f>
        <v>#REF!</v>
      </c>
      <c r="GD45" t="e">
        <f>AND(#REF!,"AAAAAA2+vrk=")</f>
        <v>#REF!</v>
      </c>
      <c r="GE45" t="e">
        <f>AND(#REF!,"AAAAAA2+vro=")</f>
        <v>#REF!</v>
      </c>
      <c r="GF45" t="e">
        <f>AND(#REF!,"AAAAAA2+vrs=")</f>
        <v>#REF!</v>
      </c>
      <c r="GG45" t="e">
        <f>AND(#REF!,"AAAAAA2+vrw=")</f>
        <v>#REF!</v>
      </c>
      <c r="GH45" t="e">
        <f>AND(#REF!,"AAAAAA2+vr0=")</f>
        <v>#REF!</v>
      </c>
      <c r="GI45" t="e">
        <f>AND(#REF!,"AAAAAA2+vr4=")</f>
        <v>#REF!</v>
      </c>
      <c r="GJ45" t="e">
        <f>AND(#REF!,"AAAAAA2+vr8=")</f>
        <v>#REF!</v>
      </c>
      <c r="GK45" t="e">
        <f>AND(#REF!,"AAAAAA2+vsA=")</f>
        <v>#REF!</v>
      </c>
      <c r="GL45" t="e">
        <f>AND(#REF!,"AAAAAA2+vsE=")</f>
        <v>#REF!</v>
      </c>
      <c r="GM45" t="e">
        <f>AND(#REF!,"AAAAAA2+vsI=")</f>
        <v>#REF!</v>
      </c>
      <c r="GN45" t="e">
        <f>AND(#REF!,"AAAAAA2+vsM=")</f>
        <v>#REF!</v>
      </c>
      <c r="GO45" t="e">
        <f>IF(#REF!,"AAAAAA2+vsQ=",0)</f>
        <v>#REF!</v>
      </c>
      <c r="GP45" t="e">
        <f>AND(#REF!,"AAAAAA2+vsU=")</f>
        <v>#REF!</v>
      </c>
      <c r="GQ45" t="e">
        <f>AND(#REF!,"AAAAAA2+vsY=")</f>
        <v>#REF!</v>
      </c>
      <c r="GR45" t="e">
        <f>AND(#REF!,"AAAAAA2+vsc=")</f>
        <v>#REF!</v>
      </c>
      <c r="GS45" t="e">
        <f>AND(#REF!,"AAAAAA2+vsg=")</f>
        <v>#REF!</v>
      </c>
      <c r="GT45" t="e">
        <f>AND(#REF!,"AAAAAA2+vsk=")</f>
        <v>#REF!</v>
      </c>
      <c r="GU45" t="e">
        <f>AND(#REF!,"AAAAAA2+vso=")</f>
        <v>#REF!</v>
      </c>
      <c r="GV45" t="e">
        <f>AND(#REF!,"AAAAAA2+vss=")</f>
        <v>#REF!</v>
      </c>
      <c r="GW45" t="e">
        <f>AND(#REF!,"AAAAAA2+vsw=")</f>
        <v>#REF!</v>
      </c>
      <c r="GX45" t="e">
        <f>AND(#REF!,"AAAAAA2+vs0=")</f>
        <v>#REF!</v>
      </c>
      <c r="GY45" t="e">
        <f>AND(#REF!,"AAAAAA2+vs4=")</f>
        <v>#REF!</v>
      </c>
      <c r="GZ45" t="e">
        <f>AND(#REF!,"AAAAAA2+vs8=")</f>
        <v>#REF!</v>
      </c>
      <c r="HA45" t="e">
        <f>AND(#REF!,"AAAAAA2+vtA=")</f>
        <v>#REF!</v>
      </c>
      <c r="HB45" t="e">
        <f>IF(#REF!,"AAAAAA2+vtE=",0)</f>
        <v>#REF!</v>
      </c>
      <c r="HC45" t="e">
        <f>AND(#REF!,"AAAAAA2+vtI=")</f>
        <v>#REF!</v>
      </c>
      <c r="HD45" t="e">
        <f>AND(#REF!,"AAAAAA2+vtM=")</f>
        <v>#REF!</v>
      </c>
      <c r="HE45" t="e">
        <f>AND(#REF!,"AAAAAA2+vtQ=")</f>
        <v>#REF!</v>
      </c>
      <c r="HF45" t="e">
        <f>AND(#REF!,"AAAAAA2+vtU=")</f>
        <v>#REF!</v>
      </c>
      <c r="HG45" t="e">
        <f>AND(#REF!,"AAAAAA2+vtY=")</f>
        <v>#REF!</v>
      </c>
      <c r="HH45" t="e">
        <f>AND(#REF!,"AAAAAA2+vtc=")</f>
        <v>#REF!</v>
      </c>
      <c r="HI45" t="e">
        <f>AND(#REF!,"AAAAAA2+vtg=")</f>
        <v>#REF!</v>
      </c>
      <c r="HJ45" t="e">
        <f>AND(#REF!,"AAAAAA2+vtk=")</f>
        <v>#REF!</v>
      </c>
      <c r="HK45" t="e">
        <f>AND(#REF!,"AAAAAA2+vto=")</f>
        <v>#REF!</v>
      </c>
      <c r="HL45" t="e">
        <f>AND(#REF!,"AAAAAA2+vts=")</f>
        <v>#REF!</v>
      </c>
      <c r="HM45" t="e">
        <f>AND(#REF!,"AAAAAA2+vtw=")</f>
        <v>#REF!</v>
      </c>
      <c r="HN45" t="e">
        <f>AND(#REF!,"AAAAAA2+vt0=")</f>
        <v>#REF!</v>
      </c>
      <c r="HO45" t="e">
        <f>IF(#REF!,"AAAAAA2+vt4=",0)</f>
        <v>#REF!</v>
      </c>
      <c r="HP45" t="e">
        <f>AND(#REF!,"AAAAAA2+vt8=")</f>
        <v>#REF!</v>
      </c>
      <c r="HQ45" t="e">
        <f>AND(#REF!,"AAAAAA2+vuA=")</f>
        <v>#REF!</v>
      </c>
      <c r="HR45" t="e">
        <f>AND(#REF!,"AAAAAA2+vuE=")</f>
        <v>#REF!</v>
      </c>
      <c r="HS45" t="e">
        <f>AND(#REF!,"AAAAAA2+vuI=")</f>
        <v>#REF!</v>
      </c>
      <c r="HT45" t="e">
        <f>AND(#REF!,"AAAAAA2+vuM=")</f>
        <v>#REF!</v>
      </c>
      <c r="HU45" t="e">
        <f>AND(#REF!,"AAAAAA2+vuQ=")</f>
        <v>#REF!</v>
      </c>
      <c r="HV45" t="e">
        <f>AND(#REF!,"AAAAAA2+vuU=")</f>
        <v>#REF!</v>
      </c>
      <c r="HW45" t="e">
        <f>AND(#REF!,"AAAAAA2+vuY=")</f>
        <v>#REF!</v>
      </c>
      <c r="HX45" t="e">
        <f>AND(#REF!,"AAAAAA2+vuc=")</f>
        <v>#REF!</v>
      </c>
      <c r="HY45" t="e">
        <f>AND(#REF!,"AAAAAA2+vug=")</f>
        <v>#REF!</v>
      </c>
      <c r="HZ45" t="e">
        <f>AND(#REF!,"AAAAAA2+vuk=")</f>
        <v>#REF!</v>
      </c>
      <c r="IA45" t="e">
        <f>AND(#REF!,"AAAAAA2+vuo=")</f>
        <v>#REF!</v>
      </c>
      <c r="IB45" t="e">
        <f>IF(#REF!,"AAAAAA2+vus=",0)</f>
        <v>#REF!</v>
      </c>
      <c r="IC45" t="e">
        <f>AND(#REF!,"AAAAAA2+vuw=")</f>
        <v>#REF!</v>
      </c>
      <c r="ID45" t="e">
        <f>AND(#REF!,"AAAAAA2+vu0=")</f>
        <v>#REF!</v>
      </c>
      <c r="IE45" t="e">
        <f>AND(#REF!,"AAAAAA2+vu4=")</f>
        <v>#REF!</v>
      </c>
      <c r="IF45" t="e">
        <f>AND(#REF!,"AAAAAA2+vu8=")</f>
        <v>#REF!</v>
      </c>
      <c r="IG45" t="e">
        <f>AND(#REF!,"AAAAAA2+vvA=")</f>
        <v>#REF!</v>
      </c>
      <c r="IH45" t="e">
        <f>AND(#REF!,"AAAAAA2+vvE=")</f>
        <v>#REF!</v>
      </c>
      <c r="II45" t="e">
        <f>AND(#REF!,"AAAAAA2+vvI=")</f>
        <v>#REF!</v>
      </c>
      <c r="IJ45" t="e">
        <f>AND(#REF!,"AAAAAA2+vvM=")</f>
        <v>#REF!</v>
      </c>
      <c r="IK45" t="e">
        <f>AND(#REF!,"AAAAAA2+vvQ=")</f>
        <v>#REF!</v>
      </c>
      <c r="IL45" t="e">
        <f>AND(#REF!,"AAAAAA2+vvU=")</f>
        <v>#REF!</v>
      </c>
      <c r="IM45" t="e">
        <f>AND(#REF!,"AAAAAA2+vvY=")</f>
        <v>#REF!</v>
      </c>
      <c r="IN45" t="e">
        <f>AND(#REF!,"AAAAAA2+vvc=")</f>
        <v>#REF!</v>
      </c>
      <c r="IO45" t="e">
        <f>IF(#REF!,"AAAAAA2+vvg=",0)</f>
        <v>#REF!</v>
      </c>
      <c r="IP45" t="e">
        <f>AND(#REF!,"AAAAAA2+vvk=")</f>
        <v>#REF!</v>
      </c>
      <c r="IQ45" t="e">
        <f>AND(#REF!,"AAAAAA2+vvo=")</f>
        <v>#REF!</v>
      </c>
      <c r="IR45" t="e">
        <f>AND(#REF!,"AAAAAA2+vvs=")</f>
        <v>#REF!</v>
      </c>
      <c r="IS45" t="e">
        <f>AND(#REF!,"AAAAAA2+vvw=")</f>
        <v>#REF!</v>
      </c>
      <c r="IT45" t="e">
        <f>AND(#REF!,"AAAAAA2+vv0=")</f>
        <v>#REF!</v>
      </c>
      <c r="IU45" t="e">
        <f>AND(#REF!,"AAAAAA2+vv4=")</f>
        <v>#REF!</v>
      </c>
      <c r="IV45" t="e">
        <f>AND(#REF!,"AAAAAA2+vv8=")</f>
        <v>#REF!</v>
      </c>
    </row>
    <row r="46" spans="1:256">
      <c r="A46" t="e">
        <f>AND(#REF!,"AAAAAHvvWwA=")</f>
        <v>#REF!</v>
      </c>
      <c r="B46" t="e">
        <f>AND(#REF!,"AAAAAHvvWwE=")</f>
        <v>#REF!</v>
      </c>
      <c r="C46" t="e">
        <f>AND(#REF!,"AAAAAHvvWwI=")</f>
        <v>#REF!</v>
      </c>
      <c r="D46" t="e">
        <f>AND(#REF!,"AAAAAHvvWwM=")</f>
        <v>#REF!</v>
      </c>
      <c r="E46" t="e">
        <f>AND(#REF!,"AAAAAHvvWwQ=")</f>
        <v>#REF!</v>
      </c>
      <c r="F46" t="e">
        <f>IF(#REF!,"AAAAAHvvWwU=",0)</f>
        <v>#REF!</v>
      </c>
      <c r="G46" t="e">
        <f>AND(#REF!,"AAAAAHvvWwY=")</f>
        <v>#REF!</v>
      </c>
      <c r="H46" t="e">
        <f>AND(#REF!,"AAAAAHvvWwc=")</f>
        <v>#REF!</v>
      </c>
      <c r="I46" t="e">
        <f>AND(#REF!,"AAAAAHvvWwg=")</f>
        <v>#REF!</v>
      </c>
      <c r="J46" t="e">
        <f>AND(#REF!,"AAAAAHvvWwk=")</f>
        <v>#REF!</v>
      </c>
      <c r="K46" t="e">
        <f>AND(#REF!,"AAAAAHvvWwo=")</f>
        <v>#REF!</v>
      </c>
      <c r="L46" t="e">
        <f>AND(#REF!,"AAAAAHvvWws=")</f>
        <v>#REF!</v>
      </c>
      <c r="M46" t="e">
        <f>AND(#REF!,"AAAAAHvvWww=")</f>
        <v>#REF!</v>
      </c>
      <c r="N46" t="e">
        <f>AND(#REF!,"AAAAAHvvWw0=")</f>
        <v>#REF!</v>
      </c>
      <c r="O46" t="e">
        <f>AND(#REF!,"AAAAAHvvWw4=")</f>
        <v>#REF!</v>
      </c>
      <c r="P46" t="e">
        <f>AND(#REF!,"AAAAAHvvWw8=")</f>
        <v>#REF!</v>
      </c>
      <c r="Q46" t="e">
        <f>AND(#REF!,"AAAAAHvvWxA=")</f>
        <v>#REF!</v>
      </c>
      <c r="R46" t="e">
        <f>AND(#REF!,"AAAAAHvvWxE=")</f>
        <v>#REF!</v>
      </c>
      <c r="S46" t="e">
        <f>IF(#REF!,"AAAAAHvvWxI=",0)</f>
        <v>#REF!</v>
      </c>
      <c r="T46" t="e">
        <f>AND(#REF!,"AAAAAHvvWxM=")</f>
        <v>#REF!</v>
      </c>
      <c r="U46" t="e">
        <f>AND(#REF!,"AAAAAHvvWxQ=")</f>
        <v>#REF!</v>
      </c>
      <c r="V46" t="e">
        <f>AND(#REF!,"AAAAAHvvWxU=")</f>
        <v>#REF!</v>
      </c>
      <c r="W46" t="e">
        <f>AND(#REF!,"AAAAAHvvWxY=")</f>
        <v>#REF!</v>
      </c>
      <c r="X46" t="e">
        <f>AND(#REF!,"AAAAAHvvWxc=")</f>
        <v>#REF!</v>
      </c>
      <c r="Y46" t="e">
        <f>AND(#REF!,"AAAAAHvvWxg=")</f>
        <v>#REF!</v>
      </c>
      <c r="Z46" t="e">
        <f>AND(#REF!,"AAAAAHvvWxk=")</f>
        <v>#REF!</v>
      </c>
      <c r="AA46" t="e">
        <f>AND(#REF!,"AAAAAHvvWxo=")</f>
        <v>#REF!</v>
      </c>
      <c r="AB46" t="e">
        <f>AND(#REF!,"AAAAAHvvWxs=")</f>
        <v>#REF!</v>
      </c>
      <c r="AC46" t="e">
        <f>AND(#REF!,"AAAAAHvvWxw=")</f>
        <v>#REF!</v>
      </c>
      <c r="AD46" t="e">
        <f>AND(#REF!,"AAAAAHvvWx0=")</f>
        <v>#REF!</v>
      </c>
      <c r="AE46" t="e">
        <f>AND(#REF!,"AAAAAHvvWx4=")</f>
        <v>#REF!</v>
      </c>
      <c r="AF46" t="e">
        <f>IF(#REF!,"AAAAAHvvWx8=",0)</f>
        <v>#REF!</v>
      </c>
      <c r="AG46" t="e">
        <f>AND(#REF!,"AAAAAHvvWyA=")</f>
        <v>#REF!</v>
      </c>
      <c r="AH46" t="e">
        <f>AND(#REF!,"AAAAAHvvWyE=")</f>
        <v>#REF!</v>
      </c>
      <c r="AI46" t="e">
        <f>AND(#REF!,"AAAAAHvvWyI=")</f>
        <v>#REF!</v>
      </c>
      <c r="AJ46" t="e">
        <f>AND(#REF!,"AAAAAHvvWyM=")</f>
        <v>#REF!</v>
      </c>
      <c r="AK46" t="e">
        <f>AND(#REF!,"AAAAAHvvWyQ=")</f>
        <v>#REF!</v>
      </c>
      <c r="AL46" t="e">
        <f>AND(#REF!,"AAAAAHvvWyU=")</f>
        <v>#REF!</v>
      </c>
      <c r="AM46" t="e">
        <f>AND(#REF!,"AAAAAHvvWyY=")</f>
        <v>#REF!</v>
      </c>
      <c r="AN46" t="e">
        <f>AND(#REF!,"AAAAAHvvWyc=")</f>
        <v>#REF!</v>
      </c>
      <c r="AO46" t="e">
        <f>AND(#REF!,"AAAAAHvvWyg=")</f>
        <v>#REF!</v>
      </c>
      <c r="AP46" t="e">
        <f>AND(#REF!,"AAAAAHvvWyk=")</f>
        <v>#REF!</v>
      </c>
      <c r="AQ46" t="e">
        <f>AND(#REF!,"AAAAAHvvWyo=")</f>
        <v>#REF!</v>
      </c>
      <c r="AR46" t="e">
        <f>AND(#REF!,"AAAAAHvvWys=")</f>
        <v>#REF!</v>
      </c>
      <c r="AS46" t="e">
        <f>IF(#REF!,"AAAAAHvvWyw=",0)</f>
        <v>#REF!</v>
      </c>
      <c r="AT46" t="e">
        <f>AND(#REF!,"AAAAAHvvWy0=")</f>
        <v>#REF!</v>
      </c>
      <c r="AU46" t="e">
        <f>AND(#REF!,"AAAAAHvvWy4=")</f>
        <v>#REF!</v>
      </c>
      <c r="AV46" t="e">
        <f>AND(#REF!,"AAAAAHvvWy8=")</f>
        <v>#REF!</v>
      </c>
      <c r="AW46" t="e">
        <f>AND(#REF!,"AAAAAHvvWzA=")</f>
        <v>#REF!</v>
      </c>
      <c r="AX46" t="e">
        <f>AND(#REF!,"AAAAAHvvWzE=")</f>
        <v>#REF!</v>
      </c>
      <c r="AY46" t="e">
        <f>AND(#REF!,"AAAAAHvvWzI=")</f>
        <v>#REF!</v>
      </c>
      <c r="AZ46" t="e">
        <f>AND(#REF!,"AAAAAHvvWzM=")</f>
        <v>#REF!</v>
      </c>
      <c r="BA46" t="e">
        <f>AND(#REF!,"AAAAAHvvWzQ=")</f>
        <v>#REF!</v>
      </c>
      <c r="BB46" t="e">
        <f>AND(#REF!,"AAAAAHvvWzU=")</f>
        <v>#REF!</v>
      </c>
      <c r="BC46" t="e">
        <f>AND(#REF!,"AAAAAHvvWzY=")</f>
        <v>#REF!</v>
      </c>
      <c r="BD46" t="e">
        <f>AND(#REF!,"AAAAAHvvWzc=")</f>
        <v>#REF!</v>
      </c>
      <c r="BE46" t="e">
        <f>AND(#REF!,"AAAAAHvvWzg=")</f>
        <v>#REF!</v>
      </c>
      <c r="BF46" t="e">
        <f>IF(#REF!,"AAAAAHvvWzk=",0)</f>
        <v>#REF!</v>
      </c>
      <c r="BG46" t="e">
        <f>AND(#REF!,"AAAAAHvvWzo=")</f>
        <v>#REF!</v>
      </c>
      <c r="BH46" t="e">
        <f>AND(#REF!,"AAAAAHvvWzs=")</f>
        <v>#REF!</v>
      </c>
      <c r="BI46" t="e">
        <f>AND(#REF!,"AAAAAHvvWzw=")</f>
        <v>#REF!</v>
      </c>
      <c r="BJ46" t="e">
        <f>AND(#REF!,"AAAAAHvvWz0=")</f>
        <v>#REF!</v>
      </c>
      <c r="BK46" t="e">
        <f>AND(#REF!,"AAAAAHvvWz4=")</f>
        <v>#REF!</v>
      </c>
      <c r="BL46" t="e">
        <f>AND(#REF!,"AAAAAHvvWz8=")</f>
        <v>#REF!</v>
      </c>
      <c r="BM46" t="e">
        <f>AND(#REF!,"AAAAAHvvW0A=")</f>
        <v>#REF!</v>
      </c>
      <c r="BN46" t="e">
        <f>AND(#REF!,"AAAAAHvvW0E=")</f>
        <v>#REF!</v>
      </c>
      <c r="BO46" t="e">
        <f>AND(#REF!,"AAAAAHvvW0I=")</f>
        <v>#REF!</v>
      </c>
      <c r="BP46" t="e">
        <f>AND(#REF!,"AAAAAHvvW0M=")</f>
        <v>#REF!</v>
      </c>
      <c r="BQ46" t="e">
        <f>AND(#REF!,"AAAAAHvvW0Q=")</f>
        <v>#REF!</v>
      </c>
      <c r="BR46" t="e">
        <f>AND(#REF!,"AAAAAHvvW0U=")</f>
        <v>#REF!</v>
      </c>
      <c r="BS46" t="e">
        <f>IF(#REF!,"AAAAAHvvW0Y=",0)</f>
        <v>#REF!</v>
      </c>
      <c r="BT46" t="e">
        <f>AND(#REF!,"AAAAAHvvW0c=")</f>
        <v>#REF!</v>
      </c>
      <c r="BU46" t="e">
        <f>AND(#REF!,"AAAAAHvvW0g=")</f>
        <v>#REF!</v>
      </c>
      <c r="BV46" t="e">
        <f>AND(#REF!,"AAAAAHvvW0k=")</f>
        <v>#REF!</v>
      </c>
      <c r="BW46" t="e">
        <f>AND(#REF!,"AAAAAHvvW0o=")</f>
        <v>#REF!</v>
      </c>
      <c r="BX46" t="e">
        <f>AND(#REF!,"AAAAAHvvW0s=")</f>
        <v>#REF!</v>
      </c>
      <c r="BY46" t="e">
        <f>AND(#REF!,"AAAAAHvvW0w=")</f>
        <v>#REF!</v>
      </c>
      <c r="BZ46" t="e">
        <f>AND(#REF!,"AAAAAHvvW00=")</f>
        <v>#REF!</v>
      </c>
      <c r="CA46" t="e">
        <f>AND(#REF!,"AAAAAHvvW04=")</f>
        <v>#REF!</v>
      </c>
      <c r="CB46" t="e">
        <f>AND(#REF!,"AAAAAHvvW08=")</f>
        <v>#REF!</v>
      </c>
      <c r="CC46" t="e">
        <f>AND(#REF!,"AAAAAHvvW1A=")</f>
        <v>#REF!</v>
      </c>
      <c r="CD46" t="e">
        <f>AND(#REF!,"AAAAAHvvW1E=")</f>
        <v>#REF!</v>
      </c>
      <c r="CE46" t="e">
        <f>AND(#REF!,"AAAAAHvvW1I=")</f>
        <v>#REF!</v>
      </c>
      <c r="CF46" t="e">
        <f>IF(#REF!,"AAAAAHvvW1M=",0)</f>
        <v>#REF!</v>
      </c>
      <c r="CG46" t="e">
        <f>AND(#REF!,"AAAAAHvvW1Q=")</f>
        <v>#REF!</v>
      </c>
      <c r="CH46" t="e">
        <f>AND(#REF!,"AAAAAHvvW1U=")</f>
        <v>#REF!</v>
      </c>
      <c r="CI46" t="e">
        <f>AND(#REF!,"AAAAAHvvW1Y=")</f>
        <v>#REF!</v>
      </c>
      <c r="CJ46" t="e">
        <f>AND(#REF!,"AAAAAHvvW1c=")</f>
        <v>#REF!</v>
      </c>
      <c r="CK46" t="e">
        <f>AND(#REF!,"AAAAAHvvW1g=")</f>
        <v>#REF!</v>
      </c>
      <c r="CL46" t="e">
        <f>AND(#REF!,"AAAAAHvvW1k=")</f>
        <v>#REF!</v>
      </c>
      <c r="CM46" t="e">
        <f>AND(#REF!,"AAAAAHvvW1o=")</f>
        <v>#REF!</v>
      </c>
      <c r="CN46" t="e">
        <f>AND(#REF!,"AAAAAHvvW1s=")</f>
        <v>#REF!</v>
      </c>
      <c r="CO46" t="e">
        <f>AND(#REF!,"AAAAAHvvW1w=")</f>
        <v>#REF!</v>
      </c>
      <c r="CP46" t="e">
        <f>AND(#REF!,"AAAAAHvvW10=")</f>
        <v>#REF!</v>
      </c>
      <c r="CQ46" t="e">
        <f>AND(#REF!,"AAAAAHvvW14=")</f>
        <v>#REF!</v>
      </c>
      <c r="CR46" t="e">
        <f>AND(#REF!,"AAAAAHvvW18=")</f>
        <v>#REF!</v>
      </c>
      <c r="CS46" t="e">
        <f>IF(#REF!,"AAAAAHvvW2A=",0)</f>
        <v>#REF!</v>
      </c>
      <c r="CT46" t="e">
        <f>AND(#REF!,"AAAAAHvvW2E=")</f>
        <v>#REF!</v>
      </c>
      <c r="CU46" t="e">
        <f>AND(#REF!,"AAAAAHvvW2I=")</f>
        <v>#REF!</v>
      </c>
      <c r="CV46" t="e">
        <f>AND(#REF!,"AAAAAHvvW2M=")</f>
        <v>#REF!</v>
      </c>
      <c r="CW46" t="e">
        <f>AND(#REF!,"AAAAAHvvW2Q=")</f>
        <v>#REF!</v>
      </c>
      <c r="CX46" t="e">
        <f>AND(#REF!,"AAAAAHvvW2U=")</f>
        <v>#REF!</v>
      </c>
      <c r="CY46" t="e">
        <f>AND(#REF!,"AAAAAHvvW2Y=")</f>
        <v>#REF!</v>
      </c>
      <c r="CZ46" t="e">
        <f>AND(#REF!,"AAAAAHvvW2c=")</f>
        <v>#REF!</v>
      </c>
      <c r="DA46" t="e">
        <f>AND(#REF!,"AAAAAHvvW2g=")</f>
        <v>#REF!</v>
      </c>
      <c r="DB46" t="e">
        <f>AND(#REF!,"AAAAAHvvW2k=")</f>
        <v>#REF!</v>
      </c>
      <c r="DC46" t="e">
        <f>AND(#REF!,"AAAAAHvvW2o=")</f>
        <v>#REF!</v>
      </c>
      <c r="DD46" t="e">
        <f>AND(#REF!,"AAAAAHvvW2s=")</f>
        <v>#REF!</v>
      </c>
      <c r="DE46" t="e">
        <f>AND(#REF!,"AAAAAHvvW2w=")</f>
        <v>#REF!</v>
      </c>
      <c r="DF46" t="e">
        <f>IF(#REF!,"AAAAAHvvW20=",0)</f>
        <v>#REF!</v>
      </c>
      <c r="DG46" t="e">
        <f>AND(#REF!,"AAAAAHvvW24=")</f>
        <v>#REF!</v>
      </c>
      <c r="DH46" t="e">
        <f>AND(#REF!,"AAAAAHvvW28=")</f>
        <v>#REF!</v>
      </c>
      <c r="DI46" t="e">
        <f>AND(#REF!,"AAAAAHvvW3A=")</f>
        <v>#REF!</v>
      </c>
      <c r="DJ46" t="e">
        <f>AND(#REF!,"AAAAAHvvW3E=")</f>
        <v>#REF!</v>
      </c>
      <c r="DK46" t="e">
        <f>AND(#REF!,"AAAAAHvvW3I=")</f>
        <v>#REF!</v>
      </c>
      <c r="DL46" t="e">
        <f>AND(#REF!,"AAAAAHvvW3M=")</f>
        <v>#REF!</v>
      </c>
      <c r="DM46" t="e">
        <f>AND(#REF!,"AAAAAHvvW3Q=")</f>
        <v>#REF!</v>
      </c>
      <c r="DN46" t="e">
        <f>AND(#REF!,"AAAAAHvvW3U=")</f>
        <v>#REF!</v>
      </c>
      <c r="DO46" t="e">
        <f>AND(#REF!,"AAAAAHvvW3Y=")</f>
        <v>#REF!</v>
      </c>
      <c r="DP46" t="e">
        <f>AND(#REF!,"AAAAAHvvW3c=")</f>
        <v>#REF!</v>
      </c>
      <c r="DQ46" t="e">
        <f>AND(#REF!,"AAAAAHvvW3g=")</f>
        <v>#REF!</v>
      </c>
      <c r="DR46" t="e">
        <f>AND(#REF!,"AAAAAHvvW3k=")</f>
        <v>#REF!</v>
      </c>
      <c r="DS46" t="e">
        <f>IF(#REF!,"AAAAAHvvW3o=",0)</f>
        <v>#REF!</v>
      </c>
      <c r="DT46" t="e">
        <f>AND(#REF!,"AAAAAHvvW3s=")</f>
        <v>#REF!</v>
      </c>
      <c r="DU46" t="e">
        <f>AND(#REF!,"AAAAAHvvW3w=")</f>
        <v>#REF!</v>
      </c>
      <c r="DV46" t="e">
        <f>AND(#REF!,"AAAAAHvvW30=")</f>
        <v>#REF!</v>
      </c>
      <c r="DW46" t="e">
        <f>AND(#REF!,"AAAAAHvvW34=")</f>
        <v>#REF!</v>
      </c>
      <c r="DX46" t="e">
        <f>AND(#REF!,"AAAAAHvvW38=")</f>
        <v>#REF!</v>
      </c>
      <c r="DY46" t="e">
        <f>AND(#REF!,"AAAAAHvvW4A=")</f>
        <v>#REF!</v>
      </c>
      <c r="DZ46" t="e">
        <f>AND(#REF!,"AAAAAHvvW4E=")</f>
        <v>#REF!</v>
      </c>
      <c r="EA46" t="e">
        <f>AND(#REF!,"AAAAAHvvW4I=")</f>
        <v>#REF!</v>
      </c>
      <c r="EB46" t="e">
        <f>AND(#REF!,"AAAAAHvvW4M=")</f>
        <v>#REF!</v>
      </c>
      <c r="EC46" t="e">
        <f>AND(#REF!,"AAAAAHvvW4Q=")</f>
        <v>#REF!</v>
      </c>
      <c r="ED46" t="e">
        <f>AND(#REF!,"AAAAAHvvW4U=")</f>
        <v>#REF!</v>
      </c>
      <c r="EE46" t="e">
        <f>AND(#REF!,"AAAAAHvvW4Y=")</f>
        <v>#REF!</v>
      </c>
      <c r="EF46" t="e">
        <f>IF(#REF!,"AAAAAHvvW4c=",0)</f>
        <v>#REF!</v>
      </c>
      <c r="EG46" t="e">
        <f>AND(#REF!,"AAAAAHvvW4g=")</f>
        <v>#REF!</v>
      </c>
      <c r="EH46" t="e">
        <f>AND(#REF!,"AAAAAHvvW4k=")</f>
        <v>#REF!</v>
      </c>
      <c r="EI46" t="e">
        <f>AND(#REF!,"AAAAAHvvW4o=")</f>
        <v>#REF!</v>
      </c>
      <c r="EJ46" t="e">
        <f>AND(#REF!,"AAAAAHvvW4s=")</f>
        <v>#REF!</v>
      </c>
      <c r="EK46" t="e">
        <f>AND(#REF!,"AAAAAHvvW4w=")</f>
        <v>#REF!</v>
      </c>
      <c r="EL46" t="e">
        <f>AND(#REF!,"AAAAAHvvW40=")</f>
        <v>#REF!</v>
      </c>
      <c r="EM46" t="e">
        <f>AND(#REF!,"AAAAAHvvW44=")</f>
        <v>#REF!</v>
      </c>
      <c r="EN46" t="e">
        <f>AND(#REF!,"AAAAAHvvW48=")</f>
        <v>#REF!</v>
      </c>
      <c r="EO46" t="e">
        <f>AND(#REF!,"AAAAAHvvW5A=")</f>
        <v>#REF!</v>
      </c>
      <c r="EP46" t="e">
        <f>AND(#REF!,"AAAAAHvvW5E=")</f>
        <v>#REF!</v>
      </c>
      <c r="EQ46" t="e">
        <f>AND(#REF!,"AAAAAHvvW5I=")</f>
        <v>#REF!</v>
      </c>
      <c r="ER46" t="e">
        <f>AND(#REF!,"AAAAAHvvW5M=")</f>
        <v>#REF!</v>
      </c>
      <c r="ES46" t="e">
        <f>IF(#REF!,"AAAAAHvvW5Q=",0)</f>
        <v>#REF!</v>
      </c>
      <c r="ET46" t="e">
        <f>AND(#REF!,"AAAAAHvvW5U=")</f>
        <v>#REF!</v>
      </c>
      <c r="EU46" t="e">
        <f>AND(#REF!,"AAAAAHvvW5Y=")</f>
        <v>#REF!</v>
      </c>
      <c r="EV46" t="e">
        <f>AND(#REF!,"AAAAAHvvW5c=")</f>
        <v>#REF!</v>
      </c>
      <c r="EW46" t="e">
        <f>AND(#REF!,"AAAAAHvvW5g=")</f>
        <v>#REF!</v>
      </c>
      <c r="EX46" t="e">
        <f>AND(#REF!,"AAAAAHvvW5k=")</f>
        <v>#REF!</v>
      </c>
      <c r="EY46" t="e">
        <f>AND(#REF!,"AAAAAHvvW5o=")</f>
        <v>#REF!</v>
      </c>
      <c r="EZ46" t="e">
        <f>AND(#REF!,"AAAAAHvvW5s=")</f>
        <v>#REF!</v>
      </c>
      <c r="FA46" t="e">
        <f>AND(#REF!,"AAAAAHvvW5w=")</f>
        <v>#REF!</v>
      </c>
      <c r="FB46" t="e">
        <f>AND(#REF!,"AAAAAHvvW50=")</f>
        <v>#REF!</v>
      </c>
      <c r="FC46" t="e">
        <f>AND(#REF!,"AAAAAHvvW54=")</f>
        <v>#REF!</v>
      </c>
      <c r="FD46" t="e">
        <f>AND(#REF!,"AAAAAHvvW58=")</f>
        <v>#REF!</v>
      </c>
      <c r="FE46" t="e">
        <f>AND(#REF!,"AAAAAHvvW6A=")</f>
        <v>#REF!</v>
      </c>
      <c r="FF46" t="e">
        <f>IF(#REF!,"AAAAAHvvW6E=",0)</f>
        <v>#REF!</v>
      </c>
      <c r="FG46" t="e">
        <f>AND(#REF!,"AAAAAHvvW6I=")</f>
        <v>#REF!</v>
      </c>
      <c r="FH46" t="e">
        <f>AND(#REF!,"AAAAAHvvW6M=")</f>
        <v>#REF!</v>
      </c>
      <c r="FI46" t="e">
        <f>AND(#REF!,"AAAAAHvvW6Q=")</f>
        <v>#REF!</v>
      </c>
      <c r="FJ46" t="e">
        <f>AND(#REF!,"AAAAAHvvW6U=")</f>
        <v>#REF!</v>
      </c>
      <c r="FK46" t="e">
        <f>AND(#REF!,"AAAAAHvvW6Y=")</f>
        <v>#REF!</v>
      </c>
      <c r="FL46" t="e">
        <f>AND(#REF!,"AAAAAHvvW6c=")</f>
        <v>#REF!</v>
      </c>
      <c r="FM46" t="e">
        <f>AND(#REF!,"AAAAAHvvW6g=")</f>
        <v>#REF!</v>
      </c>
      <c r="FN46" t="e">
        <f>AND(#REF!,"AAAAAHvvW6k=")</f>
        <v>#REF!</v>
      </c>
      <c r="FO46" t="e">
        <f>AND(#REF!,"AAAAAHvvW6o=")</f>
        <v>#REF!</v>
      </c>
      <c r="FP46" t="e">
        <f>AND(#REF!,"AAAAAHvvW6s=")</f>
        <v>#REF!</v>
      </c>
      <c r="FQ46" t="e">
        <f>AND(#REF!,"AAAAAHvvW6w=")</f>
        <v>#REF!</v>
      </c>
      <c r="FR46" t="e">
        <f>AND(#REF!,"AAAAAHvvW60=")</f>
        <v>#REF!</v>
      </c>
      <c r="FS46" t="e">
        <f>IF(#REF!,"AAAAAHvvW64=",0)</f>
        <v>#REF!</v>
      </c>
      <c r="FT46" t="e">
        <f>AND(#REF!,"AAAAAHvvW68=")</f>
        <v>#REF!</v>
      </c>
      <c r="FU46" t="e">
        <f>AND(#REF!,"AAAAAHvvW7A=")</f>
        <v>#REF!</v>
      </c>
      <c r="FV46" t="e">
        <f>AND(#REF!,"AAAAAHvvW7E=")</f>
        <v>#REF!</v>
      </c>
      <c r="FW46" t="e">
        <f>AND(#REF!,"AAAAAHvvW7I=")</f>
        <v>#REF!</v>
      </c>
      <c r="FX46" t="e">
        <f>AND(#REF!,"AAAAAHvvW7M=")</f>
        <v>#REF!</v>
      </c>
      <c r="FY46" t="e">
        <f>AND(#REF!,"AAAAAHvvW7Q=")</f>
        <v>#REF!</v>
      </c>
      <c r="FZ46" t="e">
        <f>AND(#REF!,"AAAAAHvvW7U=")</f>
        <v>#REF!</v>
      </c>
      <c r="GA46" t="e">
        <f>AND(#REF!,"AAAAAHvvW7Y=")</f>
        <v>#REF!</v>
      </c>
      <c r="GB46" t="e">
        <f>AND(#REF!,"AAAAAHvvW7c=")</f>
        <v>#REF!</v>
      </c>
      <c r="GC46" t="e">
        <f>AND(#REF!,"AAAAAHvvW7g=")</f>
        <v>#REF!</v>
      </c>
      <c r="GD46" t="e">
        <f>AND(#REF!,"AAAAAHvvW7k=")</f>
        <v>#REF!</v>
      </c>
      <c r="GE46" t="e">
        <f>AND(#REF!,"AAAAAHvvW7o=")</f>
        <v>#REF!</v>
      </c>
      <c r="GF46" t="e">
        <f>IF(#REF!,"AAAAAHvvW7s=",0)</f>
        <v>#REF!</v>
      </c>
      <c r="GG46" t="e">
        <f>AND(#REF!,"AAAAAHvvW7w=")</f>
        <v>#REF!</v>
      </c>
      <c r="GH46" t="e">
        <f>AND(#REF!,"AAAAAHvvW70=")</f>
        <v>#REF!</v>
      </c>
      <c r="GI46" t="e">
        <f>AND(#REF!,"AAAAAHvvW74=")</f>
        <v>#REF!</v>
      </c>
      <c r="GJ46" t="e">
        <f>AND(#REF!,"AAAAAHvvW78=")</f>
        <v>#REF!</v>
      </c>
      <c r="GK46" t="e">
        <f>AND(#REF!,"AAAAAHvvW8A=")</f>
        <v>#REF!</v>
      </c>
      <c r="GL46" t="e">
        <f>AND(#REF!,"AAAAAHvvW8E=")</f>
        <v>#REF!</v>
      </c>
      <c r="GM46" t="e">
        <f>AND(#REF!,"AAAAAHvvW8I=")</f>
        <v>#REF!</v>
      </c>
      <c r="GN46" t="e">
        <f>AND(#REF!,"AAAAAHvvW8M=")</f>
        <v>#REF!</v>
      </c>
      <c r="GO46" t="e">
        <f>AND(#REF!,"AAAAAHvvW8Q=")</f>
        <v>#REF!</v>
      </c>
      <c r="GP46" t="e">
        <f>AND(#REF!,"AAAAAHvvW8U=")</f>
        <v>#REF!</v>
      </c>
      <c r="GQ46" t="e">
        <f>AND(#REF!,"AAAAAHvvW8Y=")</f>
        <v>#REF!</v>
      </c>
      <c r="GR46" t="e">
        <f>AND(#REF!,"AAAAAHvvW8c=")</f>
        <v>#REF!</v>
      </c>
      <c r="GS46" t="e">
        <f>IF(#REF!,"AAAAAHvvW8g=",0)</f>
        <v>#REF!</v>
      </c>
      <c r="GT46" t="e">
        <f>AND(#REF!,"AAAAAHvvW8k=")</f>
        <v>#REF!</v>
      </c>
      <c r="GU46" t="e">
        <f>AND(#REF!,"AAAAAHvvW8o=")</f>
        <v>#REF!</v>
      </c>
      <c r="GV46" t="e">
        <f>AND(#REF!,"AAAAAHvvW8s=")</f>
        <v>#REF!</v>
      </c>
      <c r="GW46" t="e">
        <f>AND(#REF!,"AAAAAHvvW8w=")</f>
        <v>#REF!</v>
      </c>
      <c r="GX46" t="e">
        <f>AND(#REF!,"AAAAAHvvW80=")</f>
        <v>#REF!</v>
      </c>
      <c r="GY46" t="e">
        <f>AND(#REF!,"AAAAAHvvW84=")</f>
        <v>#REF!</v>
      </c>
      <c r="GZ46" t="e">
        <f>AND(#REF!,"AAAAAHvvW88=")</f>
        <v>#REF!</v>
      </c>
      <c r="HA46" t="e">
        <f>AND(#REF!,"AAAAAHvvW9A=")</f>
        <v>#REF!</v>
      </c>
      <c r="HB46" t="e">
        <f>AND(#REF!,"AAAAAHvvW9E=")</f>
        <v>#REF!</v>
      </c>
      <c r="HC46" t="e">
        <f>AND(#REF!,"AAAAAHvvW9I=")</f>
        <v>#REF!</v>
      </c>
      <c r="HD46" t="e">
        <f>AND(#REF!,"AAAAAHvvW9M=")</f>
        <v>#REF!</v>
      </c>
      <c r="HE46" t="e">
        <f>AND(#REF!,"AAAAAHvvW9Q=")</f>
        <v>#REF!</v>
      </c>
      <c r="HF46" t="e">
        <f>IF(#REF!,"AAAAAHvvW9U=",0)</f>
        <v>#REF!</v>
      </c>
      <c r="HG46" t="e">
        <f>AND(#REF!,"AAAAAHvvW9Y=")</f>
        <v>#REF!</v>
      </c>
      <c r="HH46" t="e">
        <f>AND(#REF!,"AAAAAHvvW9c=")</f>
        <v>#REF!</v>
      </c>
      <c r="HI46" t="e">
        <f>AND(#REF!,"AAAAAHvvW9g=")</f>
        <v>#REF!</v>
      </c>
      <c r="HJ46" t="e">
        <f>AND(#REF!,"AAAAAHvvW9k=")</f>
        <v>#REF!</v>
      </c>
      <c r="HK46" t="e">
        <f>AND(#REF!,"AAAAAHvvW9o=")</f>
        <v>#REF!</v>
      </c>
      <c r="HL46" t="e">
        <f>AND(#REF!,"AAAAAHvvW9s=")</f>
        <v>#REF!</v>
      </c>
      <c r="HM46" t="e">
        <f>AND(#REF!,"AAAAAHvvW9w=")</f>
        <v>#REF!</v>
      </c>
      <c r="HN46" t="e">
        <f>AND(#REF!,"AAAAAHvvW90=")</f>
        <v>#REF!</v>
      </c>
      <c r="HO46" t="e">
        <f>AND(#REF!,"AAAAAHvvW94=")</f>
        <v>#REF!</v>
      </c>
      <c r="HP46" t="e">
        <f>AND(#REF!,"AAAAAHvvW98=")</f>
        <v>#REF!</v>
      </c>
      <c r="HQ46" t="e">
        <f>AND(#REF!,"AAAAAHvvW+A=")</f>
        <v>#REF!</v>
      </c>
      <c r="HR46" t="e">
        <f>AND(#REF!,"AAAAAHvvW+E=")</f>
        <v>#REF!</v>
      </c>
      <c r="HS46" t="e">
        <f>IF(#REF!,"AAAAAHvvW+I=",0)</f>
        <v>#REF!</v>
      </c>
      <c r="HT46" t="e">
        <f>AND(#REF!,"AAAAAHvvW+M=")</f>
        <v>#REF!</v>
      </c>
      <c r="HU46" t="e">
        <f>AND(#REF!,"AAAAAHvvW+Q=")</f>
        <v>#REF!</v>
      </c>
      <c r="HV46" t="e">
        <f>AND(#REF!,"AAAAAHvvW+U=")</f>
        <v>#REF!</v>
      </c>
      <c r="HW46" t="e">
        <f>AND(#REF!,"AAAAAHvvW+Y=")</f>
        <v>#REF!</v>
      </c>
      <c r="HX46" t="e">
        <f>AND(#REF!,"AAAAAHvvW+c=")</f>
        <v>#REF!</v>
      </c>
      <c r="HY46" t="e">
        <f>AND(#REF!,"AAAAAHvvW+g=")</f>
        <v>#REF!</v>
      </c>
      <c r="HZ46" t="e">
        <f>AND(#REF!,"AAAAAHvvW+k=")</f>
        <v>#REF!</v>
      </c>
      <c r="IA46" t="e">
        <f>AND(#REF!,"AAAAAHvvW+o=")</f>
        <v>#REF!</v>
      </c>
      <c r="IB46" t="e">
        <f>AND(#REF!,"AAAAAHvvW+s=")</f>
        <v>#REF!</v>
      </c>
      <c r="IC46" t="e">
        <f>AND(#REF!,"AAAAAHvvW+w=")</f>
        <v>#REF!</v>
      </c>
      <c r="ID46" t="e">
        <f>AND(#REF!,"AAAAAHvvW+0=")</f>
        <v>#REF!</v>
      </c>
      <c r="IE46" t="e">
        <f>AND(#REF!,"AAAAAHvvW+4=")</f>
        <v>#REF!</v>
      </c>
      <c r="IF46" t="e">
        <f>IF(#REF!,"AAAAAHvvW+8=",0)</f>
        <v>#REF!</v>
      </c>
      <c r="IG46" t="e">
        <f>AND(#REF!,"AAAAAHvvW/A=")</f>
        <v>#REF!</v>
      </c>
      <c r="IH46" t="e">
        <f>AND(#REF!,"AAAAAHvvW/E=")</f>
        <v>#REF!</v>
      </c>
      <c r="II46" t="e">
        <f>AND(#REF!,"AAAAAHvvW/I=")</f>
        <v>#REF!</v>
      </c>
      <c r="IJ46" t="e">
        <f>AND(#REF!,"AAAAAHvvW/M=")</f>
        <v>#REF!</v>
      </c>
      <c r="IK46" t="e">
        <f>AND(#REF!,"AAAAAHvvW/Q=")</f>
        <v>#REF!</v>
      </c>
      <c r="IL46" t="e">
        <f>AND(#REF!,"AAAAAHvvW/U=")</f>
        <v>#REF!</v>
      </c>
      <c r="IM46" t="e">
        <f>AND(#REF!,"AAAAAHvvW/Y=")</f>
        <v>#REF!</v>
      </c>
      <c r="IN46" t="e">
        <f>AND(#REF!,"AAAAAHvvW/c=")</f>
        <v>#REF!</v>
      </c>
      <c r="IO46" t="e">
        <f>AND(#REF!,"AAAAAHvvW/g=")</f>
        <v>#REF!</v>
      </c>
      <c r="IP46" t="e">
        <f>AND(#REF!,"AAAAAHvvW/k=")</f>
        <v>#REF!</v>
      </c>
      <c r="IQ46" t="e">
        <f>AND(#REF!,"AAAAAHvvW/o=")</f>
        <v>#REF!</v>
      </c>
      <c r="IR46" t="e">
        <f>AND(#REF!,"AAAAAHvvW/s=")</f>
        <v>#REF!</v>
      </c>
      <c r="IS46" t="e">
        <f>IF(#REF!,"AAAAAHvvW/w=",0)</f>
        <v>#REF!</v>
      </c>
      <c r="IT46" t="e">
        <f>AND(#REF!,"AAAAAHvvW/0=")</f>
        <v>#REF!</v>
      </c>
      <c r="IU46" t="e">
        <f>AND(#REF!,"AAAAAHvvW/4=")</f>
        <v>#REF!</v>
      </c>
      <c r="IV46" t="e">
        <f>AND(#REF!,"AAAAAHvvW/8=")</f>
        <v>#REF!</v>
      </c>
    </row>
    <row r="47" spans="1:256">
      <c r="A47" t="e">
        <f>AND(#REF!,"AAAAAH9/7wA=")</f>
        <v>#REF!</v>
      </c>
      <c r="B47" t="e">
        <f>AND(#REF!,"AAAAAH9/7wE=")</f>
        <v>#REF!</v>
      </c>
      <c r="C47" t="e">
        <f>AND(#REF!,"AAAAAH9/7wI=")</f>
        <v>#REF!</v>
      </c>
      <c r="D47" t="e">
        <f>AND(#REF!,"AAAAAH9/7wM=")</f>
        <v>#REF!</v>
      </c>
      <c r="E47" t="e">
        <f>AND(#REF!,"AAAAAH9/7wQ=")</f>
        <v>#REF!</v>
      </c>
      <c r="F47" t="e">
        <f>AND(#REF!,"AAAAAH9/7wU=")</f>
        <v>#REF!</v>
      </c>
      <c r="G47" t="e">
        <f>AND(#REF!,"AAAAAH9/7wY=")</f>
        <v>#REF!</v>
      </c>
      <c r="H47" t="e">
        <f>AND(#REF!,"AAAAAH9/7wc=")</f>
        <v>#REF!</v>
      </c>
      <c r="I47" t="e">
        <f>AND(#REF!,"AAAAAH9/7wg=")</f>
        <v>#REF!</v>
      </c>
      <c r="J47" t="e">
        <f>IF(#REF!,"AAAAAH9/7wk=",0)</f>
        <v>#REF!</v>
      </c>
      <c r="K47" t="e">
        <f>AND(#REF!,"AAAAAH9/7wo=")</f>
        <v>#REF!</v>
      </c>
      <c r="L47" t="e">
        <f>AND(#REF!,"AAAAAH9/7ws=")</f>
        <v>#REF!</v>
      </c>
      <c r="M47" t="e">
        <f>AND(#REF!,"AAAAAH9/7ww=")</f>
        <v>#REF!</v>
      </c>
      <c r="N47" t="e">
        <f>AND(#REF!,"AAAAAH9/7w0=")</f>
        <v>#REF!</v>
      </c>
      <c r="O47" t="e">
        <f>AND(#REF!,"AAAAAH9/7w4=")</f>
        <v>#REF!</v>
      </c>
      <c r="P47" t="e">
        <f>AND(#REF!,"AAAAAH9/7w8=")</f>
        <v>#REF!</v>
      </c>
      <c r="Q47" t="e">
        <f>AND(#REF!,"AAAAAH9/7xA=")</f>
        <v>#REF!</v>
      </c>
      <c r="R47" t="e">
        <f>AND(#REF!,"AAAAAH9/7xE=")</f>
        <v>#REF!</v>
      </c>
      <c r="S47" t="e">
        <f>AND(#REF!,"AAAAAH9/7xI=")</f>
        <v>#REF!</v>
      </c>
      <c r="T47" t="e">
        <f>AND(#REF!,"AAAAAH9/7xM=")</f>
        <v>#REF!</v>
      </c>
      <c r="U47" t="e">
        <f>AND(#REF!,"AAAAAH9/7xQ=")</f>
        <v>#REF!</v>
      </c>
      <c r="V47" t="e">
        <f>AND(#REF!,"AAAAAH9/7xU=")</f>
        <v>#REF!</v>
      </c>
      <c r="W47" t="e">
        <f>IF(#REF!,"AAAAAH9/7xY=",0)</f>
        <v>#REF!</v>
      </c>
      <c r="X47" t="e">
        <f>AND(#REF!,"AAAAAH9/7xc=")</f>
        <v>#REF!</v>
      </c>
      <c r="Y47" t="e">
        <f>AND(#REF!,"AAAAAH9/7xg=")</f>
        <v>#REF!</v>
      </c>
      <c r="Z47" t="e">
        <f>AND(#REF!,"AAAAAH9/7xk=")</f>
        <v>#REF!</v>
      </c>
      <c r="AA47" t="e">
        <f>AND(#REF!,"AAAAAH9/7xo=")</f>
        <v>#REF!</v>
      </c>
      <c r="AB47" t="e">
        <f>AND(#REF!,"AAAAAH9/7xs=")</f>
        <v>#REF!</v>
      </c>
      <c r="AC47" t="e">
        <f>AND(#REF!,"AAAAAH9/7xw=")</f>
        <v>#REF!</v>
      </c>
      <c r="AD47" t="e">
        <f>AND(#REF!,"AAAAAH9/7x0=")</f>
        <v>#REF!</v>
      </c>
      <c r="AE47" t="e">
        <f>AND(#REF!,"AAAAAH9/7x4=")</f>
        <v>#REF!</v>
      </c>
      <c r="AF47" t="e">
        <f>AND(#REF!,"AAAAAH9/7x8=")</f>
        <v>#REF!</v>
      </c>
      <c r="AG47" t="e">
        <f>AND(#REF!,"AAAAAH9/7yA=")</f>
        <v>#REF!</v>
      </c>
      <c r="AH47" t="e">
        <f>AND(#REF!,"AAAAAH9/7yE=")</f>
        <v>#REF!</v>
      </c>
      <c r="AI47" t="e">
        <f>AND(#REF!,"AAAAAH9/7yI=")</f>
        <v>#REF!</v>
      </c>
      <c r="AJ47" t="e">
        <f>IF(#REF!,"AAAAAH9/7yM=",0)</f>
        <v>#REF!</v>
      </c>
      <c r="AK47" t="e">
        <f>AND(#REF!,"AAAAAH9/7yQ=")</f>
        <v>#REF!</v>
      </c>
      <c r="AL47" t="e">
        <f>AND(#REF!,"AAAAAH9/7yU=")</f>
        <v>#REF!</v>
      </c>
      <c r="AM47" t="e">
        <f>AND(#REF!,"AAAAAH9/7yY=")</f>
        <v>#REF!</v>
      </c>
      <c r="AN47" t="e">
        <f>AND(#REF!,"AAAAAH9/7yc=")</f>
        <v>#REF!</v>
      </c>
      <c r="AO47" t="e">
        <f>AND(#REF!,"AAAAAH9/7yg=")</f>
        <v>#REF!</v>
      </c>
      <c r="AP47" t="e">
        <f>AND(#REF!,"AAAAAH9/7yk=")</f>
        <v>#REF!</v>
      </c>
      <c r="AQ47" t="e">
        <f>AND(#REF!,"AAAAAH9/7yo=")</f>
        <v>#REF!</v>
      </c>
      <c r="AR47" t="e">
        <f>AND(#REF!,"AAAAAH9/7ys=")</f>
        <v>#REF!</v>
      </c>
      <c r="AS47" t="e">
        <f>AND(#REF!,"AAAAAH9/7yw=")</f>
        <v>#REF!</v>
      </c>
      <c r="AT47" t="e">
        <f>AND(#REF!,"AAAAAH9/7y0=")</f>
        <v>#REF!</v>
      </c>
      <c r="AU47" t="e">
        <f>AND(#REF!,"AAAAAH9/7y4=")</f>
        <v>#REF!</v>
      </c>
      <c r="AV47" t="e">
        <f>AND(#REF!,"AAAAAH9/7y8=")</f>
        <v>#REF!</v>
      </c>
      <c r="AW47" t="e">
        <f>IF(#REF!,"AAAAAH9/7zA=",0)</f>
        <v>#REF!</v>
      </c>
      <c r="AX47" t="e">
        <f>AND(#REF!,"AAAAAH9/7zE=")</f>
        <v>#REF!</v>
      </c>
      <c r="AY47" t="e">
        <f>AND(#REF!,"AAAAAH9/7zI=")</f>
        <v>#REF!</v>
      </c>
      <c r="AZ47" t="e">
        <f>AND(#REF!,"AAAAAH9/7zM=")</f>
        <v>#REF!</v>
      </c>
      <c r="BA47" t="e">
        <f>AND(#REF!,"AAAAAH9/7zQ=")</f>
        <v>#REF!</v>
      </c>
      <c r="BB47" t="e">
        <f>AND(#REF!,"AAAAAH9/7zU=")</f>
        <v>#REF!</v>
      </c>
      <c r="BC47" t="e">
        <f>AND(#REF!,"AAAAAH9/7zY=")</f>
        <v>#REF!</v>
      </c>
      <c r="BD47" t="e">
        <f>AND(#REF!,"AAAAAH9/7zc=")</f>
        <v>#REF!</v>
      </c>
      <c r="BE47" t="e">
        <f>AND(#REF!,"AAAAAH9/7zg=")</f>
        <v>#REF!</v>
      </c>
      <c r="BF47" t="e">
        <f>AND(#REF!,"AAAAAH9/7zk=")</f>
        <v>#REF!</v>
      </c>
      <c r="BG47" t="e">
        <f>AND(#REF!,"AAAAAH9/7zo=")</f>
        <v>#REF!</v>
      </c>
      <c r="BH47" t="e">
        <f>AND(#REF!,"AAAAAH9/7zs=")</f>
        <v>#REF!</v>
      </c>
      <c r="BI47" t="e">
        <f>AND(#REF!,"AAAAAH9/7zw=")</f>
        <v>#REF!</v>
      </c>
      <c r="BJ47" t="e">
        <f>IF(#REF!,"AAAAAH9/7z0=",0)</f>
        <v>#REF!</v>
      </c>
      <c r="BK47" t="e">
        <f>AND(#REF!,"AAAAAH9/7z4=")</f>
        <v>#REF!</v>
      </c>
      <c r="BL47" t="e">
        <f>AND(#REF!,"AAAAAH9/7z8=")</f>
        <v>#REF!</v>
      </c>
      <c r="BM47" t="e">
        <f>AND(#REF!,"AAAAAH9/70A=")</f>
        <v>#REF!</v>
      </c>
      <c r="BN47" t="e">
        <f>AND(#REF!,"AAAAAH9/70E=")</f>
        <v>#REF!</v>
      </c>
      <c r="BO47" t="e">
        <f>AND(#REF!,"AAAAAH9/70I=")</f>
        <v>#REF!</v>
      </c>
      <c r="BP47" t="e">
        <f>AND(#REF!,"AAAAAH9/70M=")</f>
        <v>#REF!</v>
      </c>
      <c r="BQ47" t="e">
        <f>AND(#REF!,"AAAAAH9/70Q=")</f>
        <v>#REF!</v>
      </c>
      <c r="BR47" t="e">
        <f>AND(#REF!,"AAAAAH9/70U=")</f>
        <v>#REF!</v>
      </c>
      <c r="BS47" t="e">
        <f>AND(#REF!,"AAAAAH9/70Y=")</f>
        <v>#REF!</v>
      </c>
      <c r="BT47" t="e">
        <f>AND(#REF!,"AAAAAH9/70c=")</f>
        <v>#REF!</v>
      </c>
      <c r="BU47" t="e">
        <f>AND(#REF!,"AAAAAH9/70g=")</f>
        <v>#REF!</v>
      </c>
      <c r="BV47" t="e">
        <f>AND(#REF!,"AAAAAH9/70k=")</f>
        <v>#REF!</v>
      </c>
      <c r="BW47" t="e">
        <f>IF(#REF!,"AAAAAH9/70o=",0)</f>
        <v>#REF!</v>
      </c>
      <c r="BX47" t="e">
        <f>AND(#REF!,"AAAAAH9/70s=")</f>
        <v>#REF!</v>
      </c>
      <c r="BY47" t="e">
        <f>AND(#REF!,"AAAAAH9/70w=")</f>
        <v>#REF!</v>
      </c>
      <c r="BZ47" t="e">
        <f>AND(#REF!,"AAAAAH9/700=")</f>
        <v>#REF!</v>
      </c>
      <c r="CA47" t="e">
        <f>AND(#REF!,"AAAAAH9/704=")</f>
        <v>#REF!</v>
      </c>
      <c r="CB47" t="e">
        <f>AND(#REF!,"AAAAAH9/708=")</f>
        <v>#REF!</v>
      </c>
      <c r="CC47" t="e">
        <f>AND(#REF!,"AAAAAH9/71A=")</f>
        <v>#REF!</v>
      </c>
      <c r="CD47" t="e">
        <f>AND(#REF!,"AAAAAH9/71E=")</f>
        <v>#REF!</v>
      </c>
      <c r="CE47" t="e">
        <f>AND(#REF!,"AAAAAH9/71I=")</f>
        <v>#REF!</v>
      </c>
      <c r="CF47" t="e">
        <f>AND(#REF!,"AAAAAH9/71M=")</f>
        <v>#REF!</v>
      </c>
      <c r="CG47" t="e">
        <f>AND(#REF!,"AAAAAH9/71Q=")</f>
        <v>#REF!</v>
      </c>
      <c r="CH47" t="e">
        <f>AND(#REF!,"AAAAAH9/71U=")</f>
        <v>#REF!</v>
      </c>
      <c r="CI47" t="e">
        <f>AND(#REF!,"AAAAAH9/71Y=")</f>
        <v>#REF!</v>
      </c>
      <c r="CJ47" t="e">
        <f>IF(#REF!,"AAAAAH9/71c=",0)</f>
        <v>#REF!</v>
      </c>
      <c r="CK47" t="e">
        <f>AND(#REF!,"AAAAAH9/71g=")</f>
        <v>#REF!</v>
      </c>
      <c r="CL47" t="e">
        <f>AND(#REF!,"AAAAAH9/71k=")</f>
        <v>#REF!</v>
      </c>
      <c r="CM47" t="e">
        <f>AND(#REF!,"AAAAAH9/71o=")</f>
        <v>#REF!</v>
      </c>
      <c r="CN47" t="e">
        <f>AND(#REF!,"AAAAAH9/71s=")</f>
        <v>#REF!</v>
      </c>
      <c r="CO47" t="e">
        <f>AND(#REF!,"AAAAAH9/71w=")</f>
        <v>#REF!</v>
      </c>
      <c r="CP47" t="e">
        <f>AND(#REF!,"AAAAAH9/710=")</f>
        <v>#REF!</v>
      </c>
      <c r="CQ47" t="e">
        <f>AND(#REF!,"AAAAAH9/714=")</f>
        <v>#REF!</v>
      </c>
      <c r="CR47" t="e">
        <f>AND(#REF!,"AAAAAH9/718=")</f>
        <v>#REF!</v>
      </c>
      <c r="CS47" t="e">
        <f>AND(#REF!,"AAAAAH9/72A=")</f>
        <v>#REF!</v>
      </c>
      <c r="CT47" t="e">
        <f>AND(#REF!,"AAAAAH9/72E=")</f>
        <v>#REF!</v>
      </c>
      <c r="CU47" t="e">
        <f>AND(#REF!,"AAAAAH9/72I=")</f>
        <v>#REF!</v>
      </c>
      <c r="CV47" t="e">
        <f>AND(#REF!,"AAAAAH9/72M=")</f>
        <v>#REF!</v>
      </c>
      <c r="CW47" t="e">
        <f>IF(#REF!,"AAAAAH9/72Q=",0)</f>
        <v>#REF!</v>
      </c>
      <c r="CX47" t="e">
        <f>AND(#REF!,"AAAAAH9/72U=")</f>
        <v>#REF!</v>
      </c>
      <c r="CY47" t="e">
        <f>AND(#REF!,"AAAAAH9/72Y=")</f>
        <v>#REF!</v>
      </c>
      <c r="CZ47" t="e">
        <f>AND(#REF!,"AAAAAH9/72c=")</f>
        <v>#REF!</v>
      </c>
      <c r="DA47" t="e">
        <f>AND(#REF!,"AAAAAH9/72g=")</f>
        <v>#REF!</v>
      </c>
      <c r="DB47" t="e">
        <f>AND(#REF!,"AAAAAH9/72k=")</f>
        <v>#REF!</v>
      </c>
      <c r="DC47" t="e">
        <f>AND(#REF!,"AAAAAH9/72o=")</f>
        <v>#REF!</v>
      </c>
      <c r="DD47" t="e">
        <f>AND(#REF!,"AAAAAH9/72s=")</f>
        <v>#REF!</v>
      </c>
      <c r="DE47" t="e">
        <f>AND(#REF!,"AAAAAH9/72w=")</f>
        <v>#REF!</v>
      </c>
      <c r="DF47" t="e">
        <f>AND(#REF!,"AAAAAH9/720=")</f>
        <v>#REF!</v>
      </c>
      <c r="DG47" t="e">
        <f>AND(#REF!,"AAAAAH9/724=")</f>
        <v>#REF!</v>
      </c>
      <c r="DH47" t="e">
        <f>AND(#REF!,"AAAAAH9/728=")</f>
        <v>#REF!</v>
      </c>
      <c r="DI47" t="e">
        <f>AND(#REF!,"AAAAAH9/73A=")</f>
        <v>#REF!</v>
      </c>
      <c r="DJ47" t="e">
        <f>IF(#REF!,"AAAAAH9/73E=",0)</f>
        <v>#REF!</v>
      </c>
      <c r="DK47" t="e">
        <f>AND(#REF!,"AAAAAH9/73I=")</f>
        <v>#REF!</v>
      </c>
      <c r="DL47" t="e">
        <f>AND(#REF!,"AAAAAH9/73M=")</f>
        <v>#REF!</v>
      </c>
      <c r="DM47" t="e">
        <f>AND(#REF!,"AAAAAH9/73Q=")</f>
        <v>#REF!</v>
      </c>
      <c r="DN47" t="e">
        <f>AND(#REF!,"AAAAAH9/73U=")</f>
        <v>#REF!</v>
      </c>
      <c r="DO47" t="e">
        <f>AND(#REF!,"AAAAAH9/73Y=")</f>
        <v>#REF!</v>
      </c>
      <c r="DP47" t="e">
        <f>AND(#REF!,"AAAAAH9/73c=")</f>
        <v>#REF!</v>
      </c>
      <c r="DQ47" t="e">
        <f>AND(#REF!,"AAAAAH9/73g=")</f>
        <v>#REF!</v>
      </c>
      <c r="DR47" t="e">
        <f>AND(#REF!,"AAAAAH9/73k=")</f>
        <v>#REF!</v>
      </c>
      <c r="DS47" t="e">
        <f>AND(#REF!,"AAAAAH9/73o=")</f>
        <v>#REF!</v>
      </c>
      <c r="DT47" t="e">
        <f>AND(#REF!,"AAAAAH9/73s=")</f>
        <v>#REF!</v>
      </c>
      <c r="DU47" t="e">
        <f>AND(#REF!,"AAAAAH9/73w=")</f>
        <v>#REF!</v>
      </c>
      <c r="DV47" t="e">
        <f>AND(#REF!,"AAAAAH9/730=")</f>
        <v>#REF!</v>
      </c>
      <c r="DW47" t="e">
        <f>IF(#REF!,"AAAAAH9/734=",0)</f>
        <v>#REF!</v>
      </c>
      <c r="DX47" t="e">
        <f>AND(#REF!,"AAAAAH9/738=")</f>
        <v>#REF!</v>
      </c>
      <c r="DY47" t="e">
        <f>AND(#REF!,"AAAAAH9/74A=")</f>
        <v>#REF!</v>
      </c>
      <c r="DZ47" t="e">
        <f>AND(#REF!,"AAAAAH9/74E=")</f>
        <v>#REF!</v>
      </c>
      <c r="EA47" t="e">
        <f>AND(#REF!,"AAAAAH9/74I=")</f>
        <v>#REF!</v>
      </c>
      <c r="EB47" t="e">
        <f>AND(#REF!,"AAAAAH9/74M=")</f>
        <v>#REF!</v>
      </c>
      <c r="EC47" t="e">
        <f>AND(#REF!,"AAAAAH9/74Q=")</f>
        <v>#REF!</v>
      </c>
      <c r="ED47" t="e">
        <f>AND(#REF!,"AAAAAH9/74U=")</f>
        <v>#REF!</v>
      </c>
      <c r="EE47" t="e">
        <f>AND(#REF!,"AAAAAH9/74Y=")</f>
        <v>#REF!</v>
      </c>
      <c r="EF47" t="e">
        <f>AND(#REF!,"AAAAAH9/74c=")</f>
        <v>#REF!</v>
      </c>
      <c r="EG47" t="e">
        <f>AND(#REF!,"AAAAAH9/74g=")</f>
        <v>#REF!</v>
      </c>
      <c r="EH47" t="e">
        <f>AND(#REF!,"AAAAAH9/74k=")</f>
        <v>#REF!</v>
      </c>
      <c r="EI47" t="e">
        <f>AND(#REF!,"AAAAAH9/74o=")</f>
        <v>#REF!</v>
      </c>
      <c r="EJ47" t="e">
        <f>IF(#REF!,"AAAAAH9/74s=",0)</f>
        <v>#REF!</v>
      </c>
      <c r="EK47" t="e">
        <f>AND(#REF!,"AAAAAH9/74w=")</f>
        <v>#REF!</v>
      </c>
      <c r="EL47" t="e">
        <f>AND(#REF!,"AAAAAH9/740=")</f>
        <v>#REF!</v>
      </c>
      <c r="EM47" t="e">
        <f>AND(#REF!,"AAAAAH9/744=")</f>
        <v>#REF!</v>
      </c>
      <c r="EN47" t="e">
        <f>AND(#REF!,"AAAAAH9/748=")</f>
        <v>#REF!</v>
      </c>
      <c r="EO47" t="e">
        <f>AND(#REF!,"AAAAAH9/75A=")</f>
        <v>#REF!</v>
      </c>
      <c r="EP47" t="e">
        <f>AND(#REF!,"AAAAAH9/75E=")</f>
        <v>#REF!</v>
      </c>
      <c r="EQ47" t="e">
        <f>AND(#REF!,"AAAAAH9/75I=")</f>
        <v>#REF!</v>
      </c>
      <c r="ER47" t="e">
        <f>AND(#REF!,"AAAAAH9/75M=")</f>
        <v>#REF!</v>
      </c>
      <c r="ES47" t="e">
        <f>AND(#REF!,"AAAAAH9/75Q=")</f>
        <v>#REF!</v>
      </c>
      <c r="ET47" t="e">
        <f>AND(#REF!,"AAAAAH9/75U=")</f>
        <v>#REF!</v>
      </c>
      <c r="EU47" t="e">
        <f>AND(#REF!,"AAAAAH9/75Y=")</f>
        <v>#REF!</v>
      </c>
      <c r="EV47" t="e">
        <f>AND(#REF!,"AAAAAH9/75c=")</f>
        <v>#REF!</v>
      </c>
      <c r="EW47" t="e">
        <f>IF(#REF!,"AAAAAH9/75g=",0)</f>
        <v>#REF!</v>
      </c>
      <c r="EX47" t="e">
        <f>AND(#REF!,"AAAAAH9/75k=")</f>
        <v>#REF!</v>
      </c>
      <c r="EY47" t="e">
        <f>AND(#REF!,"AAAAAH9/75o=")</f>
        <v>#REF!</v>
      </c>
      <c r="EZ47" t="e">
        <f>AND(#REF!,"AAAAAH9/75s=")</f>
        <v>#REF!</v>
      </c>
      <c r="FA47" t="e">
        <f>AND(#REF!,"AAAAAH9/75w=")</f>
        <v>#REF!</v>
      </c>
      <c r="FB47" t="e">
        <f>AND(#REF!,"AAAAAH9/750=")</f>
        <v>#REF!</v>
      </c>
      <c r="FC47" t="e">
        <f>AND(#REF!,"AAAAAH9/754=")</f>
        <v>#REF!</v>
      </c>
      <c r="FD47" t="e">
        <f>AND(#REF!,"AAAAAH9/758=")</f>
        <v>#REF!</v>
      </c>
      <c r="FE47" t="e">
        <f>AND(#REF!,"AAAAAH9/76A=")</f>
        <v>#REF!</v>
      </c>
      <c r="FF47" t="e">
        <f>AND(#REF!,"AAAAAH9/76E=")</f>
        <v>#REF!</v>
      </c>
      <c r="FG47" t="e">
        <f>AND(#REF!,"AAAAAH9/76I=")</f>
        <v>#REF!</v>
      </c>
      <c r="FH47" t="e">
        <f>AND(#REF!,"AAAAAH9/76M=")</f>
        <v>#REF!</v>
      </c>
      <c r="FI47" t="e">
        <f>AND(#REF!,"AAAAAH9/76Q=")</f>
        <v>#REF!</v>
      </c>
      <c r="FJ47" t="e">
        <f>IF(#REF!,"AAAAAH9/76U=",0)</f>
        <v>#REF!</v>
      </c>
      <c r="FK47" t="e">
        <f>IF(#REF!,"AAAAAH9/76Y=",0)</f>
        <v>#REF!</v>
      </c>
      <c r="FL47" t="e">
        <f>IF(#REF!,"AAAAAH9/76c=",0)</f>
        <v>#REF!</v>
      </c>
      <c r="FM47" t="e">
        <f>IF(#REF!,"AAAAAH9/76g=",0)</f>
        <v>#REF!</v>
      </c>
      <c r="FN47" t="e">
        <f>IF(#REF!,"AAAAAH9/76k=",0)</f>
        <v>#REF!</v>
      </c>
      <c r="FO47" t="e">
        <f>IF(#REF!,"AAAAAH9/76o=",0)</f>
        <v>#REF!</v>
      </c>
      <c r="FP47" t="e">
        <f>IF(#REF!,"AAAAAH9/76s=",0)</f>
        <v>#REF!</v>
      </c>
      <c r="FQ47" t="e">
        <f>IF(#REF!,"AAAAAH9/76w=",0)</f>
        <v>#REF!</v>
      </c>
      <c r="FR47" t="e">
        <f>IF(#REF!,"AAAAAH9/760=",0)</f>
        <v>#REF!</v>
      </c>
      <c r="FS47" t="e">
        <f>IF(#REF!,"AAAAAH9/764=",0)</f>
        <v>#REF!</v>
      </c>
      <c r="FT47" t="e">
        <f>IF(#REF!,"AAAAAH9/768=",0)</f>
        <v>#REF!</v>
      </c>
      <c r="FU47" t="e">
        <f>IF(#REF!,"AAAAAH9/77A=",0)</f>
        <v>#REF!</v>
      </c>
      <c r="FV47" t="e">
        <f>IF(#REF!,"AAAAAH9/77E=",0)</f>
        <v>#REF!</v>
      </c>
      <c r="FW47" t="e">
        <f>IF(#REF!,"AAAAAH9/77I=",0)</f>
        <v>#REF!</v>
      </c>
      <c r="FX47" t="e">
        <f>IF(#REF!,"AAAAAH9/77M=",0)</f>
        <v>#REF!</v>
      </c>
      <c r="FY47" t="e">
        <f>IF(#REF!,"AAAAAH9/77Q=",0)</f>
        <v>#REF!</v>
      </c>
      <c r="FZ47" t="e">
        <f>IF(#REF!,"AAAAAH9/77U=",0)</f>
        <v>#REF!</v>
      </c>
      <c r="GA47" t="e">
        <f>IF(#REF!,"AAAAAH9/77Y=",0)</f>
        <v>#REF!</v>
      </c>
      <c r="GB47" t="e">
        <f>IF(#REF!,"AAAAAH9/77c=",0)</f>
        <v>#REF!</v>
      </c>
      <c r="GC47" t="e">
        <f>IF(#REF!,"AAAAAH9/77g=",0)</f>
        <v>#REF!</v>
      </c>
      <c r="GD47" t="e">
        <f>IF(#REF!,"AAAAAH9/77k=",0)</f>
        <v>#REF!</v>
      </c>
      <c r="GE47" t="e">
        <f>IF(#REF!,"AAAAAH9/77o=",0)</f>
        <v>#REF!</v>
      </c>
      <c r="GF47" t="e">
        <f>IF(#REF!,"AAAAAH9/77s=",0)</f>
        <v>#REF!</v>
      </c>
      <c r="GG47" t="e">
        <f>IF(#REF!,"AAAAAH9/77w=",0)</f>
        <v>#REF!</v>
      </c>
      <c r="GH47" t="e">
        <f>AND(#REF!,"AAAAAH9/770=")</f>
        <v>#REF!</v>
      </c>
      <c r="GI47" t="e">
        <f>AND(#REF!,"AAAAAH9/774=")</f>
        <v>#REF!</v>
      </c>
      <c r="GJ47" t="e">
        <f>AND(#REF!,"AAAAAH9/778=")</f>
        <v>#REF!</v>
      </c>
      <c r="GK47" t="e">
        <f>AND(#REF!,"AAAAAH9/78A=")</f>
        <v>#REF!</v>
      </c>
      <c r="GL47" t="e">
        <f>AND(#REF!,"AAAAAH9/78E=")</f>
        <v>#REF!</v>
      </c>
      <c r="GM47" t="e">
        <f>AND(#REF!,"AAAAAH9/78I=")</f>
        <v>#REF!</v>
      </c>
      <c r="GN47" t="e">
        <f>AND(#REF!,"AAAAAH9/78M=")</f>
        <v>#REF!</v>
      </c>
      <c r="GO47" t="e">
        <f>AND(#REF!,"AAAAAH9/78Q=")</f>
        <v>#REF!</v>
      </c>
      <c r="GP47" t="e">
        <f>AND(#REF!,"AAAAAH9/78U=")</f>
        <v>#REF!</v>
      </c>
      <c r="GQ47" t="e">
        <f>AND(#REF!,"AAAAAH9/78Y=")</f>
        <v>#REF!</v>
      </c>
      <c r="GR47" t="e">
        <f>AND(#REF!,"AAAAAH9/78c=")</f>
        <v>#REF!</v>
      </c>
      <c r="GS47" t="e">
        <f>AND(#REF!,"AAAAAH9/78g=")</f>
        <v>#REF!</v>
      </c>
      <c r="GT47" t="e">
        <f>IF(#REF!,"AAAAAH9/78k=",0)</f>
        <v>#REF!</v>
      </c>
      <c r="GU47" t="e">
        <f>AND(#REF!,"AAAAAH9/78o=")</f>
        <v>#REF!</v>
      </c>
      <c r="GV47" t="e">
        <f>AND(#REF!,"AAAAAH9/78s=")</f>
        <v>#REF!</v>
      </c>
      <c r="GW47" t="e">
        <f>AND(#REF!,"AAAAAH9/78w=")</f>
        <v>#REF!</v>
      </c>
      <c r="GX47" t="e">
        <f>AND(#REF!,"AAAAAH9/780=")</f>
        <v>#REF!</v>
      </c>
      <c r="GY47" t="e">
        <f>AND(#REF!,"AAAAAH9/784=")</f>
        <v>#REF!</v>
      </c>
      <c r="GZ47" t="e">
        <f>AND(#REF!,"AAAAAH9/788=")</f>
        <v>#REF!</v>
      </c>
      <c r="HA47" t="e">
        <f>AND(#REF!,"AAAAAH9/79A=")</f>
        <v>#REF!</v>
      </c>
      <c r="HB47" t="e">
        <f>AND(#REF!,"AAAAAH9/79E=")</f>
        <v>#REF!</v>
      </c>
      <c r="HC47" t="e">
        <f>AND(#REF!,"AAAAAH9/79I=")</f>
        <v>#REF!</v>
      </c>
      <c r="HD47" t="e">
        <f>AND(#REF!,"AAAAAH9/79M=")</f>
        <v>#REF!</v>
      </c>
      <c r="HE47" t="e">
        <f>AND(#REF!,"AAAAAH9/79Q=")</f>
        <v>#REF!</v>
      </c>
      <c r="HF47" t="e">
        <f>AND(#REF!,"AAAAAH9/79U=")</f>
        <v>#REF!</v>
      </c>
      <c r="HG47" t="e">
        <f>IF(#REF!,"AAAAAH9/79Y=",0)</f>
        <v>#REF!</v>
      </c>
      <c r="HH47" t="e">
        <f>AND(#REF!,"AAAAAH9/79c=")</f>
        <v>#REF!</v>
      </c>
      <c r="HI47" t="e">
        <f>AND(#REF!,"AAAAAH9/79g=")</f>
        <v>#REF!</v>
      </c>
      <c r="HJ47" t="e">
        <f>AND(#REF!,"AAAAAH9/79k=")</f>
        <v>#REF!</v>
      </c>
      <c r="HK47" t="e">
        <f>AND(#REF!,"AAAAAH9/79o=")</f>
        <v>#REF!</v>
      </c>
      <c r="HL47" t="e">
        <f>AND(#REF!,"AAAAAH9/79s=")</f>
        <v>#REF!</v>
      </c>
      <c r="HM47" t="e">
        <f>AND(#REF!,"AAAAAH9/79w=")</f>
        <v>#REF!</v>
      </c>
      <c r="HN47" t="e">
        <f>AND(#REF!,"AAAAAH9/790=")</f>
        <v>#REF!</v>
      </c>
      <c r="HO47" t="e">
        <f>AND(#REF!,"AAAAAH9/794=")</f>
        <v>#REF!</v>
      </c>
      <c r="HP47" t="e">
        <f>AND(#REF!,"AAAAAH9/798=")</f>
        <v>#REF!</v>
      </c>
      <c r="HQ47" t="e">
        <f>AND(#REF!,"AAAAAH9/7+A=")</f>
        <v>#REF!</v>
      </c>
      <c r="HR47" t="e">
        <f>AND(#REF!,"AAAAAH9/7+E=")</f>
        <v>#REF!</v>
      </c>
      <c r="HS47" t="e">
        <f>AND(#REF!,"AAAAAH9/7+I=")</f>
        <v>#REF!</v>
      </c>
      <c r="HT47" t="e">
        <f>IF(#REF!,"AAAAAH9/7+M=",0)</f>
        <v>#REF!</v>
      </c>
      <c r="HU47" t="e">
        <f>AND(#REF!,"AAAAAH9/7+Q=")</f>
        <v>#REF!</v>
      </c>
      <c r="HV47" t="e">
        <f>AND(#REF!,"AAAAAH9/7+U=")</f>
        <v>#REF!</v>
      </c>
      <c r="HW47" t="e">
        <f>AND(#REF!,"AAAAAH9/7+Y=")</f>
        <v>#REF!</v>
      </c>
      <c r="HX47" t="e">
        <f>AND(#REF!,"AAAAAH9/7+c=")</f>
        <v>#REF!</v>
      </c>
      <c r="HY47" t="e">
        <f>AND(#REF!,"AAAAAH9/7+g=")</f>
        <v>#REF!</v>
      </c>
      <c r="HZ47" t="e">
        <f>AND(#REF!,"AAAAAH9/7+k=")</f>
        <v>#REF!</v>
      </c>
      <c r="IA47" t="e">
        <f>AND(#REF!,"AAAAAH9/7+o=")</f>
        <v>#REF!</v>
      </c>
      <c r="IB47" t="e">
        <f>AND(#REF!,"AAAAAH9/7+s=")</f>
        <v>#REF!</v>
      </c>
      <c r="IC47" t="e">
        <f>AND(#REF!,"AAAAAH9/7+w=")</f>
        <v>#REF!</v>
      </c>
      <c r="ID47" t="e">
        <f>AND(#REF!,"AAAAAH9/7+0=")</f>
        <v>#REF!</v>
      </c>
      <c r="IE47" t="e">
        <f>AND(#REF!,"AAAAAH9/7+4=")</f>
        <v>#REF!</v>
      </c>
      <c r="IF47" t="e">
        <f>AND(#REF!,"AAAAAH9/7+8=")</f>
        <v>#REF!</v>
      </c>
      <c r="IG47" t="e">
        <f>IF(#REF!,"AAAAAH9/7/A=",0)</f>
        <v>#REF!</v>
      </c>
      <c r="IH47" t="e">
        <f>AND(#REF!,"AAAAAH9/7/E=")</f>
        <v>#REF!</v>
      </c>
      <c r="II47" t="e">
        <f>AND(#REF!,"AAAAAH9/7/I=")</f>
        <v>#REF!</v>
      </c>
      <c r="IJ47" t="e">
        <f>AND(#REF!,"AAAAAH9/7/M=")</f>
        <v>#REF!</v>
      </c>
      <c r="IK47" t="e">
        <f>AND(#REF!,"AAAAAH9/7/Q=")</f>
        <v>#REF!</v>
      </c>
      <c r="IL47" t="e">
        <f>AND(#REF!,"AAAAAH9/7/U=")</f>
        <v>#REF!</v>
      </c>
      <c r="IM47" t="e">
        <f>AND(#REF!,"AAAAAH9/7/Y=")</f>
        <v>#REF!</v>
      </c>
      <c r="IN47" t="e">
        <f>AND(#REF!,"AAAAAH9/7/c=")</f>
        <v>#REF!</v>
      </c>
      <c r="IO47" t="e">
        <f>AND(#REF!,"AAAAAH9/7/g=")</f>
        <v>#REF!</v>
      </c>
      <c r="IP47" t="e">
        <f>AND(#REF!,"AAAAAH9/7/k=")</f>
        <v>#REF!</v>
      </c>
      <c r="IQ47" t="e">
        <f>AND(#REF!,"AAAAAH9/7/o=")</f>
        <v>#REF!</v>
      </c>
      <c r="IR47" t="e">
        <f>AND(#REF!,"AAAAAH9/7/s=")</f>
        <v>#REF!</v>
      </c>
      <c r="IS47" t="e">
        <f>AND(#REF!,"AAAAAH9/7/w=")</f>
        <v>#REF!</v>
      </c>
      <c r="IT47" t="e">
        <f>IF(#REF!,"AAAAAH9/7/0=",0)</f>
        <v>#REF!</v>
      </c>
      <c r="IU47" t="e">
        <f>AND(#REF!,"AAAAAH9/7/4=")</f>
        <v>#REF!</v>
      </c>
      <c r="IV47" t="e">
        <f>AND(#REF!,"AAAAAH9/7/8=")</f>
        <v>#REF!</v>
      </c>
    </row>
    <row r="48" spans="1:256">
      <c r="A48" t="e">
        <f>AND(#REF!,"AAAAAGf/3wA=")</f>
        <v>#REF!</v>
      </c>
      <c r="B48" t="e">
        <f>AND(#REF!,"AAAAAGf/3wE=")</f>
        <v>#REF!</v>
      </c>
      <c r="C48" t="e">
        <f>AND(#REF!,"AAAAAGf/3wI=")</f>
        <v>#REF!</v>
      </c>
      <c r="D48" t="e">
        <f>AND(#REF!,"AAAAAGf/3wM=")</f>
        <v>#REF!</v>
      </c>
      <c r="E48" t="e">
        <f>AND(#REF!,"AAAAAGf/3wQ=")</f>
        <v>#REF!</v>
      </c>
      <c r="F48" t="e">
        <f>AND(#REF!,"AAAAAGf/3wU=")</f>
        <v>#REF!</v>
      </c>
      <c r="G48" t="e">
        <f>AND(#REF!,"AAAAAGf/3wY=")</f>
        <v>#REF!</v>
      </c>
      <c r="H48" t="e">
        <f>AND(#REF!,"AAAAAGf/3wc=")</f>
        <v>#REF!</v>
      </c>
      <c r="I48" t="e">
        <f>AND(#REF!,"AAAAAGf/3wg=")</f>
        <v>#REF!</v>
      </c>
      <c r="J48" t="e">
        <f>AND(#REF!,"AAAAAGf/3wk=")</f>
        <v>#REF!</v>
      </c>
      <c r="K48" t="e">
        <f>IF(#REF!,"AAAAAGf/3wo=",0)</f>
        <v>#REF!</v>
      </c>
      <c r="L48" t="e">
        <f>AND(#REF!,"AAAAAGf/3ws=")</f>
        <v>#REF!</v>
      </c>
      <c r="M48" t="e">
        <f>AND(#REF!,"AAAAAGf/3ww=")</f>
        <v>#REF!</v>
      </c>
      <c r="N48" t="e">
        <f>AND(#REF!,"AAAAAGf/3w0=")</f>
        <v>#REF!</v>
      </c>
      <c r="O48" t="e">
        <f>AND(#REF!,"AAAAAGf/3w4=")</f>
        <v>#REF!</v>
      </c>
      <c r="P48" t="e">
        <f>AND(#REF!,"AAAAAGf/3w8=")</f>
        <v>#REF!</v>
      </c>
      <c r="Q48" t="e">
        <f>AND(#REF!,"AAAAAGf/3xA=")</f>
        <v>#REF!</v>
      </c>
      <c r="R48" t="e">
        <f>AND(#REF!,"AAAAAGf/3xE=")</f>
        <v>#REF!</v>
      </c>
      <c r="S48" t="e">
        <f>AND(#REF!,"AAAAAGf/3xI=")</f>
        <v>#REF!</v>
      </c>
      <c r="T48" t="e">
        <f>AND(#REF!,"AAAAAGf/3xM=")</f>
        <v>#REF!</v>
      </c>
      <c r="U48" t="e">
        <f>AND(#REF!,"AAAAAGf/3xQ=")</f>
        <v>#REF!</v>
      </c>
      <c r="V48" t="e">
        <f>AND(#REF!,"AAAAAGf/3xU=")</f>
        <v>#REF!</v>
      </c>
      <c r="W48" t="e">
        <f>AND(#REF!,"AAAAAGf/3xY=")</f>
        <v>#REF!</v>
      </c>
      <c r="X48" t="e">
        <f>IF(#REF!,"AAAAAGf/3xc=",0)</f>
        <v>#REF!</v>
      </c>
      <c r="Y48" t="e">
        <f>AND(#REF!,"AAAAAGf/3xg=")</f>
        <v>#REF!</v>
      </c>
      <c r="Z48" t="e">
        <f>AND(#REF!,"AAAAAGf/3xk=")</f>
        <v>#REF!</v>
      </c>
      <c r="AA48" t="e">
        <f>AND(#REF!,"AAAAAGf/3xo=")</f>
        <v>#REF!</v>
      </c>
      <c r="AB48" t="e">
        <f>AND(#REF!,"AAAAAGf/3xs=")</f>
        <v>#REF!</v>
      </c>
      <c r="AC48" t="e">
        <f>AND(#REF!,"AAAAAGf/3xw=")</f>
        <v>#REF!</v>
      </c>
      <c r="AD48" t="e">
        <f>AND(#REF!,"AAAAAGf/3x0=")</f>
        <v>#REF!</v>
      </c>
      <c r="AE48" t="e">
        <f>AND(#REF!,"AAAAAGf/3x4=")</f>
        <v>#REF!</v>
      </c>
      <c r="AF48" t="e">
        <f>AND(#REF!,"AAAAAGf/3x8=")</f>
        <v>#REF!</v>
      </c>
      <c r="AG48" t="e">
        <f>AND(#REF!,"AAAAAGf/3yA=")</f>
        <v>#REF!</v>
      </c>
      <c r="AH48" t="e">
        <f>AND(#REF!,"AAAAAGf/3yE=")</f>
        <v>#REF!</v>
      </c>
      <c r="AI48" t="e">
        <f>AND(#REF!,"AAAAAGf/3yI=")</f>
        <v>#REF!</v>
      </c>
      <c r="AJ48" t="e">
        <f>AND(#REF!,"AAAAAGf/3yM=")</f>
        <v>#REF!</v>
      </c>
      <c r="AK48" t="e">
        <f>IF(#REF!,"AAAAAGf/3yQ=",0)</f>
        <v>#REF!</v>
      </c>
      <c r="AL48" t="e">
        <f>AND(#REF!,"AAAAAGf/3yU=")</f>
        <v>#REF!</v>
      </c>
      <c r="AM48" t="e">
        <f>AND(#REF!,"AAAAAGf/3yY=")</f>
        <v>#REF!</v>
      </c>
      <c r="AN48" t="e">
        <f>AND(#REF!,"AAAAAGf/3yc=")</f>
        <v>#REF!</v>
      </c>
      <c r="AO48" t="e">
        <f>AND(#REF!,"AAAAAGf/3yg=")</f>
        <v>#REF!</v>
      </c>
      <c r="AP48" t="e">
        <f>AND(#REF!,"AAAAAGf/3yk=")</f>
        <v>#REF!</v>
      </c>
      <c r="AQ48" t="e">
        <f>AND(#REF!,"AAAAAGf/3yo=")</f>
        <v>#REF!</v>
      </c>
      <c r="AR48" t="e">
        <f>AND(#REF!,"AAAAAGf/3ys=")</f>
        <v>#REF!</v>
      </c>
      <c r="AS48" t="e">
        <f>AND(#REF!,"AAAAAGf/3yw=")</f>
        <v>#REF!</v>
      </c>
      <c r="AT48" t="e">
        <f>AND(#REF!,"AAAAAGf/3y0=")</f>
        <v>#REF!</v>
      </c>
      <c r="AU48" t="e">
        <f>AND(#REF!,"AAAAAGf/3y4=")</f>
        <v>#REF!</v>
      </c>
      <c r="AV48" t="e">
        <f>AND(#REF!,"AAAAAGf/3y8=")</f>
        <v>#REF!</v>
      </c>
      <c r="AW48" t="e">
        <f>AND(#REF!,"AAAAAGf/3zA=")</f>
        <v>#REF!</v>
      </c>
      <c r="AX48" t="e">
        <f>IF(#REF!,"AAAAAGf/3zE=",0)</f>
        <v>#REF!</v>
      </c>
      <c r="AY48" t="e">
        <f>AND(#REF!,"AAAAAGf/3zI=")</f>
        <v>#REF!</v>
      </c>
      <c r="AZ48" t="e">
        <f>AND(#REF!,"AAAAAGf/3zM=")</f>
        <v>#REF!</v>
      </c>
      <c r="BA48" t="e">
        <f>AND(#REF!,"AAAAAGf/3zQ=")</f>
        <v>#REF!</v>
      </c>
      <c r="BB48" t="e">
        <f>AND(#REF!,"AAAAAGf/3zU=")</f>
        <v>#REF!</v>
      </c>
      <c r="BC48" t="e">
        <f>AND(#REF!,"AAAAAGf/3zY=")</f>
        <v>#REF!</v>
      </c>
      <c r="BD48" t="e">
        <f>AND(#REF!,"AAAAAGf/3zc=")</f>
        <v>#REF!</v>
      </c>
      <c r="BE48" t="e">
        <f>AND(#REF!,"AAAAAGf/3zg=")</f>
        <v>#REF!</v>
      </c>
      <c r="BF48" t="e">
        <f>AND(#REF!,"AAAAAGf/3zk=")</f>
        <v>#REF!</v>
      </c>
      <c r="BG48" t="e">
        <f>AND(#REF!,"AAAAAGf/3zo=")</f>
        <v>#REF!</v>
      </c>
      <c r="BH48" t="e">
        <f>AND(#REF!,"AAAAAGf/3zs=")</f>
        <v>#REF!</v>
      </c>
      <c r="BI48" t="e">
        <f>AND(#REF!,"AAAAAGf/3zw=")</f>
        <v>#REF!</v>
      </c>
      <c r="BJ48" t="e">
        <f>AND(#REF!,"AAAAAGf/3z0=")</f>
        <v>#REF!</v>
      </c>
      <c r="BK48" t="e">
        <f>IF(#REF!,"AAAAAGf/3z4=",0)</f>
        <v>#REF!</v>
      </c>
      <c r="BL48" t="e">
        <f>AND(#REF!,"AAAAAGf/3z8=")</f>
        <v>#REF!</v>
      </c>
      <c r="BM48" t="e">
        <f>AND(#REF!,"AAAAAGf/30A=")</f>
        <v>#REF!</v>
      </c>
      <c r="BN48" t="e">
        <f>AND(#REF!,"AAAAAGf/30E=")</f>
        <v>#REF!</v>
      </c>
      <c r="BO48" t="e">
        <f>AND(#REF!,"AAAAAGf/30I=")</f>
        <v>#REF!</v>
      </c>
      <c r="BP48" t="e">
        <f>AND(#REF!,"AAAAAGf/30M=")</f>
        <v>#REF!</v>
      </c>
      <c r="BQ48" t="e">
        <f>AND(#REF!,"AAAAAGf/30Q=")</f>
        <v>#REF!</v>
      </c>
      <c r="BR48" t="e">
        <f>AND(#REF!,"AAAAAGf/30U=")</f>
        <v>#REF!</v>
      </c>
      <c r="BS48" t="e">
        <f>AND(#REF!,"AAAAAGf/30Y=")</f>
        <v>#REF!</v>
      </c>
      <c r="BT48" t="e">
        <f>AND(#REF!,"AAAAAGf/30c=")</f>
        <v>#REF!</v>
      </c>
      <c r="BU48" t="e">
        <f>AND(#REF!,"AAAAAGf/30g=")</f>
        <v>#REF!</v>
      </c>
      <c r="BV48" t="e">
        <f>AND(#REF!,"AAAAAGf/30k=")</f>
        <v>#REF!</v>
      </c>
      <c r="BW48" t="e">
        <f>AND(#REF!,"AAAAAGf/30o=")</f>
        <v>#REF!</v>
      </c>
      <c r="BX48" t="e">
        <f>IF(#REF!,"AAAAAGf/30s=",0)</f>
        <v>#REF!</v>
      </c>
      <c r="BY48" t="e">
        <f>AND(#REF!,"AAAAAGf/30w=")</f>
        <v>#REF!</v>
      </c>
      <c r="BZ48" t="e">
        <f>AND(#REF!,"AAAAAGf/300=")</f>
        <v>#REF!</v>
      </c>
      <c r="CA48" t="e">
        <f>AND(#REF!,"AAAAAGf/304=")</f>
        <v>#REF!</v>
      </c>
      <c r="CB48" t="e">
        <f>AND(#REF!,"AAAAAGf/308=")</f>
        <v>#REF!</v>
      </c>
      <c r="CC48" t="e">
        <f>AND(#REF!,"AAAAAGf/31A=")</f>
        <v>#REF!</v>
      </c>
      <c r="CD48" t="e">
        <f>AND(#REF!,"AAAAAGf/31E=")</f>
        <v>#REF!</v>
      </c>
      <c r="CE48" t="e">
        <f>AND(#REF!,"AAAAAGf/31I=")</f>
        <v>#REF!</v>
      </c>
      <c r="CF48" t="e">
        <f>AND(#REF!,"AAAAAGf/31M=")</f>
        <v>#REF!</v>
      </c>
      <c r="CG48" t="e">
        <f>AND(#REF!,"AAAAAGf/31Q=")</f>
        <v>#REF!</v>
      </c>
      <c r="CH48" t="e">
        <f>AND(#REF!,"AAAAAGf/31U=")</f>
        <v>#REF!</v>
      </c>
      <c r="CI48" t="e">
        <f>AND(#REF!,"AAAAAGf/31Y=")</f>
        <v>#REF!</v>
      </c>
      <c r="CJ48" t="e">
        <f>AND(#REF!,"AAAAAGf/31c=")</f>
        <v>#REF!</v>
      </c>
      <c r="CK48" t="e">
        <f>IF(#REF!,"AAAAAGf/31g=",0)</f>
        <v>#REF!</v>
      </c>
      <c r="CL48" t="e">
        <f>AND(#REF!,"AAAAAGf/31k=")</f>
        <v>#REF!</v>
      </c>
      <c r="CM48" t="e">
        <f>AND(#REF!,"AAAAAGf/31o=")</f>
        <v>#REF!</v>
      </c>
      <c r="CN48" t="e">
        <f>AND(#REF!,"AAAAAGf/31s=")</f>
        <v>#REF!</v>
      </c>
      <c r="CO48" t="e">
        <f>AND(#REF!,"AAAAAGf/31w=")</f>
        <v>#REF!</v>
      </c>
      <c r="CP48" t="e">
        <f>AND(#REF!,"AAAAAGf/310=")</f>
        <v>#REF!</v>
      </c>
      <c r="CQ48" t="e">
        <f>AND(#REF!,"AAAAAGf/314=")</f>
        <v>#REF!</v>
      </c>
      <c r="CR48" t="e">
        <f>AND(#REF!,"AAAAAGf/318=")</f>
        <v>#REF!</v>
      </c>
      <c r="CS48" t="e">
        <f>AND(#REF!,"AAAAAGf/32A=")</f>
        <v>#REF!</v>
      </c>
      <c r="CT48" t="e">
        <f>AND(#REF!,"AAAAAGf/32E=")</f>
        <v>#REF!</v>
      </c>
      <c r="CU48" t="e">
        <f>AND(#REF!,"AAAAAGf/32I=")</f>
        <v>#REF!</v>
      </c>
      <c r="CV48" t="e">
        <f>AND(#REF!,"AAAAAGf/32M=")</f>
        <v>#REF!</v>
      </c>
      <c r="CW48" t="e">
        <f>AND(#REF!,"AAAAAGf/32Q=")</f>
        <v>#REF!</v>
      </c>
      <c r="CX48" t="e">
        <f>IF(#REF!,"AAAAAGf/32U=",0)</f>
        <v>#REF!</v>
      </c>
      <c r="CY48" t="e">
        <f>AND(#REF!,"AAAAAGf/32Y=")</f>
        <v>#REF!</v>
      </c>
      <c r="CZ48" t="e">
        <f>AND(#REF!,"AAAAAGf/32c=")</f>
        <v>#REF!</v>
      </c>
      <c r="DA48" t="e">
        <f>AND(#REF!,"AAAAAGf/32g=")</f>
        <v>#REF!</v>
      </c>
      <c r="DB48" t="e">
        <f>AND(#REF!,"AAAAAGf/32k=")</f>
        <v>#REF!</v>
      </c>
      <c r="DC48" t="e">
        <f>AND(#REF!,"AAAAAGf/32o=")</f>
        <v>#REF!</v>
      </c>
      <c r="DD48" t="e">
        <f>AND(#REF!,"AAAAAGf/32s=")</f>
        <v>#REF!</v>
      </c>
      <c r="DE48" t="e">
        <f>AND(#REF!,"AAAAAGf/32w=")</f>
        <v>#REF!</v>
      </c>
      <c r="DF48" t="e">
        <f>AND(#REF!,"AAAAAGf/320=")</f>
        <v>#REF!</v>
      </c>
      <c r="DG48" t="e">
        <f>AND(#REF!,"AAAAAGf/324=")</f>
        <v>#REF!</v>
      </c>
      <c r="DH48" t="e">
        <f>AND(#REF!,"AAAAAGf/328=")</f>
        <v>#REF!</v>
      </c>
      <c r="DI48" t="e">
        <f>AND(#REF!,"AAAAAGf/33A=")</f>
        <v>#REF!</v>
      </c>
      <c r="DJ48" t="e">
        <f>AND(#REF!,"AAAAAGf/33E=")</f>
        <v>#REF!</v>
      </c>
      <c r="DK48" t="e">
        <f>IF(#REF!,"AAAAAGf/33I=",0)</f>
        <v>#REF!</v>
      </c>
      <c r="DL48" t="e">
        <f>AND(#REF!,"AAAAAGf/33M=")</f>
        <v>#REF!</v>
      </c>
      <c r="DM48" t="e">
        <f>AND(#REF!,"AAAAAGf/33Q=")</f>
        <v>#REF!</v>
      </c>
      <c r="DN48" t="e">
        <f>AND(#REF!,"AAAAAGf/33U=")</f>
        <v>#REF!</v>
      </c>
      <c r="DO48" t="e">
        <f>AND(#REF!,"AAAAAGf/33Y=")</f>
        <v>#REF!</v>
      </c>
      <c r="DP48" t="e">
        <f>AND(#REF!,"AAAAAGf/33c=")</f>
        <v>#REF!</v>
      </c>
      <c r="DQ48" t="e">
        <f>AND(#REF!,"AAAAAGf/33g=")</f>
        <v>#REF!</v>
      </c>
      <c r="DR48" t="e">
        <f>AND(#REF!,"AAAAAGf/33k=")</f>
        <v>#REF!</v>
      </c>
      <c r="DS48" t="e">
        <f>AND(#REF!,"AAAAAGf/33o=")</f>
        <v>#REF!</v>
      </c>
      <c r="DT48" t="e">
        <f>AND(#REF!,"AAAAAGf/33s=")</f>
        <v>#REF!</v>
      </c>
      <c r="DU48" t="e">
        <f>AND(#REF!,"AAAAAGf/33w=")</f>
        <v>#REF!</v>
      </c>
      <c r="DV48" t="e">
        <f>AND(#REF!,"AAAAAGf/330=")</f>
        <v>#REF!</v>
      </c>
      <c r="DW48" t="e">
        <f>AND(#REF!,"AAAAAGf/334=")</f>
        <v>#REF!</v>
      </c>
      <c r="DX48" t="e">
        <f>IF(#REF!,"AAAAAGf/338=",0)</f>
        <v>#REF!</v>
      </c>
      <c r="DY48" t="e">
        <f>AND(#REF!,"AAAAAGf/34A=")</f>
        <v>#REF!</v>
      </c>
      <c r="DZ48" t="e">
        <f>AND(#REF!,"AAAAAGf/34E=")</f>
        <v>#REF!</v>
      </c>
      <c r="EA48" t="e">
        <f>AND(#REF!,"AAAAAGf/34I=")</f>
        <v>#REF!</v>
      </c>
      <c r="EB48" t="e">
        <f>AND(#REF!,"AAAAAGf/34M=")</f>
        <v>#REF!</v>
      </c>
      <c r="EC48" t="e">
        <f>AND(#REF!,"AAAAAGf/34Q=")</f>
        <v>#REF!</v>
      </c>
      <c r="ED48" t="e">
        <f>AND(#REF!,"AAAAAGf/34U=")</f>
        <v>#REF!</v>
      </c>
      <c r="EE48" t="e">
        <f>AND(#REF!,"AAAAAGf/34Y=")</f>
        <v>#REF!</v>
      </c>
      <c r="EF48" t="e">
        <f>AND(#REF!,"AAAAAGf/34c=")</f>
        <v>#REF!</v>
      </c>
      <c r="EG48" t="e">
        <f>AND(#REF!,"AAAAAGf/34g=")</f>
        <v>#REF!</v>
      </c>
      <c r="EH48" t="e">
        <f>AND(#REF!,"AAAAAGf/34k=")</f>
        <v>#REF!</v>
      </c>
      <c r="EI48" t="e">
        <f>AND(#REF!,"AAAAAGf/34o=")</f>
        <v>#REF!</v>
      </c>
      <c r="EJ48" t="e">
        <f>AND(#REF!,"AAAAAGf/34s=")</f>
        <v>#REF!</v>
      </c>
      <c r="EK48" t="e">
        <f>IF(#REF!,"AAAAAGf/34w=",0)</f>
        <v>#REF!</v>
      </c>
      <c r="EL48" t="e">
        <f>AND(#REF!,"AAAAAGf/340=")</f>
        <v>#REF!</v>
      </c>
      <c r="EM48" t="e">
        <f>AND(#REF!,"AAAAAGf/344=")</f>
        <v>#REF!</v>
      </c>
      <c r="EN48" t="e">
        <f>AND(#REF!,"AAAAAGf/348=")</f>
        <v>#REF!</v>
      </c>
      <c r="EO48" t="e">
        <f>AND(#REF!,"AAAAAGf/35A=")</f>
        <v>#REF!</v>
      </c>
      <c r="EP48" t="e">
        <f>AND(#REF!,"AAAAAGf/35E=")</f>
        <v>#REF!</v>
      </c>
      <c r="EQ48" t="e">
        <f>AND(#REF!,"AAAAAGf/35I=")</f>
        <v>#REF!</v>
      </c>
      <c r="ER48" t="e">
        <f>AND(#REF!,"AAAAAGf/35M=")</f>
        <v>#REF!</v>
      </c>
      <c r="ES48" t="e">
        <f>AND(#REF!,"AAAAAGf/35Q=")</f>
        <v>#REF!</v>
      </c>
      <c r="ET48" t="e">
        <f>AND(#REF!,"AAAAAGf/35U=")</f>
        <v>#REF!</v>
      </c>
      <c r="EU48" t="e">
        <f>AND(#REF!,"AAAAAGf/35Y=")</f>
        <v>#REF!</v>
      </c>
      <c r="EV48" t="e">
        <f>AND(#REF!,"AAAAAGf/35c=")</f>
        <v>#REF!</v>
      </c>
      <c r="EW48" t="e">
        <f>AND(#REF!,"AAAAAGf/35g=")</f>
        <v>#REF!</v>
      </c>
      <c r="EX48" t="e">
        <f>IF(#REF!,"AAAAAGf/35k=",0)</f>
        <v>#REF!</v>
      </c>
      <c r="EY48" t="e">
        <f>AND(#REF!,"AAAAAGf/35o=")</f>
        <v>#REF!</v>
      </c>
      <c r="EZ48" t="e">
        <f>AND(#REF!,"AAAAAGf/35s=")</f>
        <v>#REF!</v>
      </c>
      <c r="FA48" t="e">
        <f>AND(#REF!,"AAAAAGf/35w=")</f>
        <v>#REF!</v>
      </c>
      <c r="FB48" t="e">
        <f>AND(#REF!,"AAAAAGf/350=")</f>
        <v>#REF!</v>
      </c>
      <c r="FC48" t="e">
        <f>AND(#REF!,"AAAAAGf/354=")</f>
        <v>#REF!</v>
      </c>
      <c r="FD48" t="e">
        <f>AND(#REF!,"AAAAAGf/358=")</f>
        <v>#REF!</v>
      </c>
      <c r="FE48" t="e">
        <f>AND(#REF!,"AAAAAGf/36A=")</f>
        <v>#REF!</v>
      </c>
      <c r="FF48" t="e">
        <f>AND(#REF!,"AAAAAGf/36E=")</f>
        <v>#REF!</v>
      </c>
      <c r="FG48" t="e">
        <f>AND(#REF!,"AAAAAGf/36I=")</f>
        <v>#REF!</v>
      </c>
      <c r="FH48" t="e">
        <f>AND(#REF!,"AAAAAGf/36M=")</f>
        <v>#REF!</v>
      </c>
      <c r="FI48" t="e">
        <f>AND(#REF!,"AAAAAGf/36Q=")</f>
        <v>#REF!</v>
      </c>
      <c r="FJ48" t="e">
        <f>AND(#REF!,"AAAAAGf/36U=")</f>
        <v>#REF!</v>
      </c>
      <c r="FK48" t="e">
        <f>IF(#REF!,"AAAAAGf/36Y=",0)</f>
        <v>#REF!</v>
      </c>
      <c r="FL48" t="e">
        <f>AND(#REF!,"AAAAAGf/36c=")</f>
        <v>#REF!</v>
      </c>
      <c r="FM48" t="e">
        <f>AND(#REF!,"AAAAAGf/36g=")</f>
        <v>#REF!</v>
      </c>
      <c r="FN48" t="e">
        <f>AND(#REF!,"AAAAAGf/36k=")</f>
        <v>#REF!</v>
      </c>
      <c r="FO48" t="e">
        <f>AND(#REF!,"AAAAAGf/36o=")</f>
        <v>#REF!</v>
      </c>
      <c r="FP48" t="e">
        <f>AND(#REF!,"AAAAAGf/36s=")</f>
        <v>#REF!</v>
      </c>
      <c r="FQ48" t="e">
        <f>AND(#REF!,"AAAAAGf/36w=")</f>
        <v>#REF!</v>
      </c>
      <c r="FR48" t="e">
        <f>AND(#REF!,"AAAAAGf/360=")</f>
        <v>#REF!</v>
      </c>
      <c r="FS48" t="e">
        <f>AND(#REF!,"AAAAAGf/364=")</f>
        <v>#REF!</v>
      </c>
      <c r="FT48" t="e">
        <f>AND(#REF!,"AAAAAGf/368=")</f>
        <v>#REF!</v>
      </c>
      <c r="FU48" t="e">
        <f>AND(#REF!,"AAAAAGf/37A=")</f>
        <v>#REF!</v>
      </c>
      <c r="FV48" t="e">
        <f>AND(#REF!,"AAAAAGf/37E=")</f>
        <v>#REF!</v>
      </c>
      <c r="FW48" t="e">
        <f>AND(#REF!,"AAAAAGf/37I=")</f>
        <v>#REF!</v>
      </c>
      <c r="FX48" t="e">
        <f>IF(#REF!,"AAAAAGf/37M=",0)</f>
        <v>#REF!</v>
      </c>
      <c r="FY48" t="e">
        <f>AND(#REF!,"AAAAAGf/37Q=")</f>
        <v>#REF!</v>
      </c>
      <c r="FZ48" t="e">
        <f>AND(#REF!,"AAAAAGf/37U=")</f>
        <v>#REF!</v>
      </c>
      <c r="GA48" t="e">
        <f>AND(#REF!,"AAAAAGf/37Y=")</f>
        <v>#REF!</v>
      </c>
      <c r="GB48" t="e">
        <f>AND(#REF!,"AAAAAGf/37c=")</f>
        <v>#REF!</v>
      </c>
      <c r="GC48" t="e">
        <f>AND(#REF!,"AAAAAGf/37g=")</f>
        <v>#REF!</v>
      </c>
      <c r="GD48" t="e">
        <f>AND(#REF!,"AAAAAGf/37k=")</f>
        <v>#REF!</v>
      </c>
      <c r="GE48" t="e">
        <f>AND(#REF!,"AAAAAGf/37o=")</f>
        <v>#REF!</v>
      </c>
      <c r="GF48" t="e">
        <f>AND(#REF!,"AAAAAGf/37s=")</f>
        <v>#REF!</v>
      </c>
      <c r="GG48" t="e">
        <f>AND(#REF!,"AAAAAGf/37w=")</f>
        <v>#REF!</v>
      </c>
      <c r="GH48" t="e">
        <f>AND(#REF!,"AAAAAGf/370=")</f>
        <v>#REF!</v>
      </c>
      <c r="GI48" t="e">
        <f>AND(#REF!,"AAAAAGf/374=")</f>
        <v>#REF!</v>
      </c>
      <c r="GJ48" t="e">
        <f>AND(#REF!,"AAAAAGf/378=")</f>
        <v>#REF!</v>
      </c>
      <c r="GK48" t="e">
        <f>IF(#REF!,"AAAAAGf/38A=",0)</f>
        <v>#REF!</v>
      </c>
      <c r="GL48" t="e">
        <f>AND(#REF!,"AAAAAGf/38E=")</f>
        <v>#REF!</v>
      </c>
      <c r="GM48" t="e">
        <f>AND(#REF!,"AAAAAGf/38I=")</f>
        <v>#REF!</v>
      </c>
      <c r="GN48" t="e">
        <f>AND(#REF!,"AAAAAGf/38M=")</f>
        <v>#REF!</v>
      </c>
      <c r="GO48" t="e">
        <f>AND(#REF!,"AAAAAGf/38Q=")</f>
        <v>#REF!</v>
      </c>
      <c r="GP48" t="e">
        <f>AND(#REF!,"AAAAAGf/38U=")</f>
        <v>#REF!</v>
      </c>
      <c r="GQ48" t="e">
        <f>AND(#REF!,"AAAAAGf/38Y=")</f>
        <v>#REF!</v>
      </c>
      <c r="GR48" t="e">
        <f>AND(#REF!,"AAAAAGf/38c=")</f>
        <v>#REF!</v>
      </c>
      <c r="GS48" t="e">
        <f>AND(#REF!,"AAAAAGf/38g=")</f>
        <v>#REF!</v>
      </c>
      <c r="GT48" t="e">
        <f>AND(#REF!,"AAAAAGf/38k=")</f>
        <v>#REF!</v>
      </c>
      <c r="GU48" t="e">
        <f>AND(#REF!,"AAAAAGf/38o=")</f>
        <v>#REF!</v>
      </c>
      <c r="GV48" t="e">
        <f>AND(#REF!,"AAAAAGf/38s=")</f>
        <v>#REF!</v>
      </c>
      <c r="GW48" t="e">
        <f>AND(#REF!,"AAAAAGf/38w=")</f>
        <v>#REF!</v>
      </c>
      <c r="GX48" t="e">
        <f>IF(#REF!,"AAAAAGf/380=",0)</f>
        <v>#REF!</v>
      </c>
      <c r="GY48" t="e">
        <f>AND(#REF!,"AAAAAGf/384=")</f>
        <v>#REF!</v>
      </c>
      <c r="GZ48" t="e">
        <f>AND(#REF!,"AAAAAGf/388=")</f>
        <v>#REF!</v>
      </c>
      <c r="HA48" t="e">
        <f>AND(#REF!,"AAAAAGf/39A=")</f>
        <v>#REF!</v>
      </c>
      <c r="HB48" t="e">
        <f>AND(#REF!,"AAAAAGf/39E=")</f>
        <v>#REF!</v>
      </c>
      <c r="HC48" t="e">
        <f>AND(#REF!,"AAAAAGf/39I=")</f>
        <v>#REF!</v>
      </c>
      <c r="HD48" t="e">
        <f>AND(#REF!,"AAAAAGf/39M=")</f>
        <v>#REF!</v>
      </c>
      <c r="HE48" t="e">
        <f>AND(#REF!,"AAAAAGf/39Q=")</f>
        <v>#REF!</v>
      </c>
      <c r="HF48" t="e">
        <f>AND(#REF!,"AAAAAGf/39U=")</f>
        <v>#REF!</v>
      </c>
      <c r="HG48" t="e">
        <f>AND(#REF!,"AAAAAGf/39Y=")</f>
        <v>#REF!</v>
      </c>
      <c r="HH48" t="e">
        <f>AND(#REF!,"AAAAAGf/39c=")</f>
        <v>#REF!</v>
      </c>
      <c r="HI48" t="e">
        <f>AND(#REF!,"AAAAAGf/39g=")</f>
        <v>#REF!</v>
      </c>
      <c r="HJ48" t="e">
        <f>AND(#REF!,"AAAAAGf/39k=")</f>
        <v>#REF!</v>
      </c>
      <c r="HK48" t="e">
        <f>IF(#REF!,"AAAAAGf/39o=",0)</f>
        <v>#REF!</v>
      </c>
      <c r="HL48" t="e">
        <f>AND(#REF!,"AAAAAGf/39s=")</f>
        <v>#REF!</v>
      </c>
      <c r="HM48" t="e">
        <f>AND(#REF!,"AAAAAGf/39w=")</f>
        <v>#REF!</v>
      </c>
      <c r="HN48" t="e">
        <f>AND(#REF!,"AAAAAGf/390=")</f>
        <v>#REF!</v>
      </c>
      <c r="HO48" t="e">
        <f>AND(#REF!,"AAAAAGf/394=")</f>
        <v>#REF!</v>
      </c>
      <c r="HP48" t="e">
        <f>AND(#REF!,"AAAAAGf/398=")</f>
        <v>#REF!</v>
      </c>
      <c r="HQ48" t="e">
        <f>AND(#REF!,"AAAAAGf/3+A=")</f>
        <v>#REF!</v>
      </c>
      <c r="HR48" t="e">
        <f>AND(#REF!,"AAAAAGf/3+E=")</f>
        <v>#REF!</v>
      </c>
      <c r="HS48" t="e">
        <f>AND(#REF!,"AAAAAGf/3+I=")</f>
        <v>#REF!</v>
      </c>
      <c r="HT48" t="e">
        <f>AND(#REF!,"AAAAAGf/3+M=")</f>
        <v>#REF!</v>
      </c>
      <c r="HU48" t="e">
        <f>AND(#REF!,"AAAAAGf/3+Q=")</f>
        <v>#REF!</v>
      </c>
      <c r="HV48" t="e">
        <f>AND(#REF!,"AAAAAGf/3+U=")</f>
        <v>#REF!</v>
      </c>
      <c r="HW48" t="e">
        <f>AND(#REF!,"AAAAAGf/3+Y=")</f>
        <v>#REF!</v>
      </c>
      <c r="HX48" t="e">
        <f>IF(#REF!,"AAAAAGf/3+c=",0)</f>
        <v>#REF!</v>
      </c>
      <c r="HY48" t="e">
        <f>AND(#REF!,"AAAAAGf/3+g=")</f>
        <v>#REF!</v>
      </c>
      <c r="HZ48" t="e">
        <f>AND(#REF!,"AAAAAGf/3+k=")</f>
        <v>#REF!</v>
      </c>
      <c r="IA48" t="e">
        <f>AND(#REF!,"AAAAAGf/3+o=")</f>
        <v>#REF!</v>
      </c>
      <c r="IB48" t="e">
        <f>AND(#REF!,"AAAAAGf/3+s=")</f>
        <v>#REF!</v>
      </c>
      <c r="IC48" t="e">
        <f>AND(#REF!,"AAAAAGf/3+w=")</f>
        <v>#REF!</v>
      </c>
      <c r="ID48" t="e">
        <f>AND(#REF!,"AAAAAGf/3+0=")</f>
        <v>#REF!</v>
      </c>
      <c r="IE48" t="e">
        <f>AND(#REF!,"AAAAAGf/3+4=")</f>
        <v>#REF!</v>
      </c>
      <c r="IF48" t="e">
        <f>AND(#REF!,"AAAAAGf/3+8=")</f>
        <v>#REF!</v>
      </c>
      <c r="IG48" t="e">
        <f>AND(#REF!,"AAAAAGf/3/A=")</f>
        <v>#REF!</v>
      </c>
      <c r="IH48" t="e">
        <f>AND(#REF!,"AAAAAGf/3/E=")</f>
        <v>#REF!</v>
      </c>
      <c r="II48" t="e">
        <f>AND(#REF!,"AAAAAGf/3/I=")</f>
        <v>#REF!</v>
      </c>
      <c r="IJ48" t="e">
        <f>AND(#REF!,"AAAAAGf/3/M=")</f>
        <v>#REF!</v>
      </c>
      <c r="IK48" t="e">
        <f>IF(#REF!,"AAAAAGf/3/Q=",0)</f>
        <v>#REF!</v>
      </c>
      <c r="IL48" t="e">
        <f>AND(#REF!,"AAAAAGf/3/U=")</f>
        <v>#REF!</v>
      </c>
      <c r="IM48" t="e">
        <f>AND(#REF!,"AAAAAGf/3/Y=")</f>
        <v>#REF!</v>
      </c>
      <c r="IN48" t="e">
        <f>AND(#REF!,"AAAAAGf/3/c=")</f>
        <v>#REF!</v>
      </c>
      <c r="IO48" t="e">
        <f>AND(#REF!,"AAAAAGf/3/g=")</f>
        <v>#REF!</v>
      </c>
      <c r="IP48" t="e">
        <f>AND(#REF!,"AAAAAGf/3/k=")</f>
        <v>#REF!</v>
      </c>
      <c r="IQ48" t="e">
        <f>AND(#REF!,"AAAAAGf/3/o=")</f>
        <v>#REF!</v>
      </c>
      <c r="IR48" t="e">
        <f>AND(#REF!,"AAAAAGf/3/s=")</f>
        <v>#REF!</v>
      </c>
      <c r="IS48" t="e">
        <f>AND(#REF!,"AAAAAGf/3/w=")</f>
        <v>#REF!</v>
      </c>
      <c r="IT48" t="e">
        <f>AND(#REF!,"AAAAAGf/3/0=")</f>
        <v>#REF!</v>
      </c>
      <c r="IU48" t="e">
        <f>AND(#REF!,"AAAAAGf/3/4=")</f>
        <v>#REF!</v>
      </c>
      <c r="IV48" t="e">
        <f>AND(#REF!,"AAAAAGf/3/8=")</f>
        <v>#REF!</v>
      </c>
    </row>
    <row r="49" spans="1:256">
      <c r="A49" t="e">
        <f>AND(#REF!,"AAAAAFe+nwA=")</f>
        <v>#REF!</v>
      </c>
      <c r="B49" t="e">
        <f>IF(#REF!,"AAAAAFe+nwE=",0)</f>
        <v>#REF!</v>
      </c>
      <c r="C49" t="e">
        <f>AND(#REF!,"AAAAAFe+nwI=")</f>
        <v>#REF!</v>
      </c>
      <c r="D49" t="e">
        <f>AND(#REF!,"AAAAAFe+nwM=")</f>
        <v>#REF!</v>
      </c>
      <c r="E49" t="e">
        <f>AND(#REF!,"AAAAAFe+nwQ=")</f>
        <v>#REF!</v>
      </c>
      <c r="F49" t="e">
        <f>AND(#REF!,"AAAAAFe+nwU=")</f>
        <v>#REF!</v>
      </c>
      <c r="G49" t="e">
        <f>AND(#REF!,"AAAAAFe+nwY=")</f>
        <v>#REF!</v>
      </c>
      <c r="H49" t="e">
        <f>AND(#REF!,"AAAAAFe+nwc=")</f>
        <v>#REF!</v>
      </c>
      <c r="I49" t="e">
        <f>AND(#REF!,"AAAAAFe+nwg=")</f>
        <v>#REF!</v>
      </c>
      <c r="J49" t="e">
        <f>AND(#REF!,"AAAAAFe+nwk=")</f>
        <v>#REF!</v>
      </c>
      <c r="K49" t="e">
        <f>AND(#REF!,"AAAAAFe+nwo=")</f>
        <v>#REF!</v>
      </c>
      <c r="L49" t="e">
        <f>AND(#REF!,"AAAAAFe+nws=")</f>
        <v>#REF!</v>
      </c>
      <c r="M49" t="e">
        <f>AND(#REF!,"AAAAAFe+nww=")</f>
        <v>#REF!</v>
      </c>
      <c r="N49" t="e">
        <f>AND(#REF!,"AAAAAFe+nw0=")</f>
        <v>#REF!</v>
      </c>
      <c r="O49" t="e">
        <f>IF(#REF!,"AAAAAFe+nw4=",0)</f>
        <v>#REF!</v>
      </c>
      <c r="P49" t="e">
        <f>AND(#REF!,"AAAAAFe+nw8=")</f>
        <v>#REF!</v>
      </c>
      <c r="Q49" t="e">
        <f>AND(#REF!,"AAAAAFe+nxA=")</f>
        <v>#REF!</v>
      </c>
      <c r="R49" t="e">
        <f>AND(#REF!,"AAAAAFe+nxE=")</f>
        <v>#REF!</v>
      </c>
      <c r="S49" t="e">
        <f>AND(#REF!,"AAAAAFe+nxI=")</f>
        <v>#REF!</v>
      </c>
      <c r="T49" t="e">
        <f>AND(#REF!,"AAAAAFe+nxM=")</f>
        <v>#REF!</v>
      </c>
      <c r="U49" t="e">
        <f>AND(#REF!,"AAAAAFe+nxQ=")</f>
        <v>#REF!</v>
      </c>
      <c r="V49" t="e">
        <f>AND(#REF!,"AAAAAFe+nxU=")</f>
        <v>#REF!</v>
      </c>
      <c r="W49" t="e">
        <f>AND(#REF!,"AAAAAFe+nxY=")</f>
        <v>#REF!</v>
      </c>
      <c r="X49" t="e">
        <f>AND(#REF!,"AAAAAFe+nxc=")</f>
        <v>#REF!</v>
      </c>
      <c r="Y49" t="e">
        <f>AND(#REF!,"AAAAAFe+nxg=")</f>
        <v>#REF!</v>
      </c>
      <c r="Z49" t="e">
        <f>AND(#REF!,"AAAAAFe+nxk=")</f>
        <v>#REF!</v>
      </c>
      <c r="AA49" t="e">
        <f>AND(#REF!,"AAAAAFe+nxo=")</f>
        <v>#REF!</v>
      </c>
      <c r="AB49" t="e">
        <f>IF(#REF!,"AAAAAFe+nxs=",0)</f>
        <v>#REF!</v>
      </c>
      <c r="AC49" t="e">
        <f>AND(#REF!,"AAAAAFe+nxw=")</f>
        <v>#REF!</v>
      </c>
      <c r="AD49" t="e">
        <f>AND(#REF!,"AAAAAFe+nx0=")</f>
        <v>#REF!</v>
      </c>
      <c r="AE49" t="e">
        <f>AND(#REF!,"AAAAAFe+nx4=")</f>
        <v>#REF!</v>
      </c>
      <c r="AF49" t="e">
        <f>AND(#REF!,"AAAAAFe+nx8=")</f>
        <v>#REF!</v>
      </c>
      <c r="AG49" t="e">
        <f>AND(#REF!,"AAAAAFe+nyA=")</f>
        <v>#REF!</v>
      </c>
      <c r="AH49" t="e">
        <f>AND(#REF!,"AAAAAFe+nyE=")</f>
        <v>#REF!</v>
      </c>
      <c r="AI49" t="e">
        <f>AND(#REF!,"AAAAAFe+nyI=")</f>
        <v>#REF!</v>
      </c>
      <c r="AJ49" t="e">
        <f>AND(#REF!,"AAAAAFe+nyM=")</f>
        <v>#REF!</v>
      </c>
      <c r="AK49" t="e">
        <f>AND(#REF!,"AAAAAFe+nyQ=")</f>
        <v>#REF!</v>
      </c>
      <c r="AL49" t="e">
        <f>AND(#REF!,"AAAAAFe+nyU=")</f>
        <v>#REF!</v>
      </c>
      <c r="AM49" t="e">
        <f>AND(#REF!,"AAAAAFe+nyY=")</f>
        <v>#REF!</v>
      </c>
      <c r="AN49" t="e">
        <f>AND(#REF!,"AAAAAFe+nyc=")</f>
        <v>#REF!</v>
      </c>
      <c r="AO49" t="e">
        <f>IF(#REF!,"AAAAAFe+nyg=",0)</f>
        <v>#REF!</v>
      </c>
      <c r="AP49" t="e">
        <f>AND(#REF!,"AAAAAFe+nyk=")</f>
        <v>#REF!</v>
      </c>
      <c r="AQ49" t="e">
        <f>AND(#REF!,"AAAAAFe+nyo=")</f>
        <v>#REF!</v>
      </c>
      <c r="AR49" t="e">
        <f>AND(#REF!,"AAAAAFe+nys=")</f>
        <v>#REF!</v>
      </c>
      <c r="AS49" t="e">
        <f>AND(#REF!,"AAAAAFe+nyw=")</f>
        <v>#REF!</v>
      </c>
      <c r="AT49" t="e">
        <f>AND(#REF!,"AAAAAFe+ny0=")</f>
        <v>#REF!</v>
      </c>
      <c r="AU49" t="e">
        <f>AND(#REF!,"AAAAAFe+ny4=")</f>
        <v>#REF!</v>
      </c>
      <c r="AV49" t="e">
        <f>AND(#REF!,"AAAAAFe+ny8=")</f>
        <v>#REF!</v>
      </c>
      <c r="AW49" t="e">
        <f>AND(#REF!,"AAAAAFe+nzA=")</f>
        <v>#REF!</v>
      </c>
      <c r="AX49" t="e">
        <f>AND(#REF!,"AAAAAFe+nzE=")</f>
        <v>#REF!</v>
      </c>
      <c r="AY49" t="e">
        <f>AND(#REF!,"AAAAAFe+nzI=")</f>
        <v>#REF!</v>
      </c>
      <c r="AZ49" t="e">
        <f>AND(#REF!,"AAAAAFe+nzM=")</f>
        <v>#REF!</v>
      </c>
      <c r="BA49" t="e">
        <f>AND(#REF!,"AAAAAFe+nzQ=")</f>
        <v>#REF!</v>
      </c>
      <c r="BB49" t="e">
        <f>IF(#REF!,"AAAAAFe+nzU=",0)</f>
        <v>#REF!</v>
      </c>
      <c r="BC49" t="e">
        <f>AND(#REF!,"AAAAAFe+nzY=")</f>
        <v>#REF!</v>
      </c>
      <c r="BD49" t="e">
        <f>AND(#REF!,"AAAAAFe+nzc=")</f>
        <v>#REF!</v>
      </c>
      <c r="BE49" t="e">
        <f>AND(#REF!,"AAAAAFe+nzg=")</f>
        <v>#REF!</v>
      </c>
      <c r="BF49" t="e">
        <f>AND(#REF!,"AAAAAFe+nzk=")</f>
        <v>#REF!</v>
      </c>
      <c r="BG49" t="e">
        <f>AND(#REF!,"AAAAAFe+nzo=")</f>
        <v>#REF!</v>
      </c>
      <c r="BH49" t="e">
        <f>AND(#REF!,"AAAAAFe+nzs=")</f>
        <v>#REF!</v>
      </c>
      <c r="BI49" t="e">
        <f>AND(#REF!,"AAAAAFe+nzw=")</f>
        <v>#REF!</v>
      </c>
      <c r="BJ49" t="e">
        <f>AND(#REF!,"AAAAAFe+nz0=")</f>
        <v>#REF!</v>
      </c>
      <c r="BK49" t="e">
        <f>AND(#REF!,"AAAAAFe+nz4=")</f>
        <v>#REF!</v>
      </c>
      <c r="BL49" t="e">
        <f>AND(#REF!,"AAAAAFe+nz8=")</f>
        <v>#REF!</v>
      </c>
      <c r="BM49" t="e">
        <f>AND(#REF!,"AAAAAFe+n0A=")</f>
        <v>#REF!</v>
      </c>
      <c r="BN49" t="e">
        <f>AND(#REF!,"AAAAAFe+n0E=")</f>
        <v>#REF!</v>
      </c>
      <c r="BO49" t="e">
        <f>IF(#REF!,"AAAAAFe+n0I=",0)</f>
        <v>#REF!</v>
      </c>
      <c r="BP49" t="e">
        <f>AND(#REF!,"AAAAAFe+n0M=")</f>
        <v>#REF!</v>
      </c>
      <c r="BQ49" t="e">
        <f>AND(#REF!,"AAAAAFe+n0Q=")</f>
        <v>#REF!</v>
      </c>
      <c r="BR49" t="e">
        <f>AND(#REF!,"AAAAAFe+n0U=")</f>
        <v>#REF!</v>
      </c>
      <c r="BS49" t="e">
        <f>AND(#REF!,"AAAAAFe+n0Y=")</f>
        <v>#REF!</v>
      </c>
      <c r="BT49" t="e">
        <f>AND(#REF!,"AAAAAFe+n0c=")</f>
        <v>#REF!</v>
      </c>
      <c r="BU49" t="e">
        <f>AND(#REF!,"AAAAAFe+n0g=")</f>
        <v>#REF!</v>
      </c>
      <c r="BV49" t="e">
        <f>AND(#REF!,"AAAAAFe+n0k=")</f>
        <v>#REF!</v>
      </c>
      <c r="BW49" t="e">
        <f>AND(#REF!,"AAAAAFe+n0o=")</f>
        <v>#REF!</v>
      </c>
      <c r="BX49" t="e">
        <f>AND(#REF!,"AAAAAFe+n0s=")</f>
        <v>#REF!</v>
      </c>
      <c r="BY49" t="e">
        <f>AND(#REF!,"AAAAAFe+n0w=")</f>
        <v>#REF!</v>
      </c>
      <c r="BZ49" t="e">
        <f>AND(#REF!,"AAAAAFe+n00=")</f>
        <v>#REF!</v>
      </c>
      <c r="CA49" t="e">
        <f>AND(#REF!,"AAAAAFe+n04=")</f>
        <v>#REF!</v>
      </c>
      <c r="CB49" t="e">
        <f>IF(#REF!,"AAAAAFe+n08=",0)</f>
        <v>#REF!</v>
      </c>
      <c r="CC49" t="e">
        <f>AND(#REF!,"AAAAAFe+n1A=")</f>
        <v>#REF!</v>
      </c>
      <c r="CD49" t="e">
        <f>AND(#REF!,"AAAAAFe+n1E=")</f>
        <v>#REF!</v>
      </c>
      <c r="CE49" t="e">
        <f>AND(#REF!,"AAAAAFe+n1I=")</f>
        <v>#REF!</v>
      </c>
      <c r="CF49" t="e">
        <f>AND(#REF!,"AAAAAFe+n1M=")</f>
        <v>#REF!</v>
      </c>
      <c r="CG49" t="e">
        <f>AND(#REF!,"AAAAAFe+n1Q=")</f>
        <v>#REF!</v>
      </c>
      <c r="CH49" t="e">
        <f>AND(#REF!,"AAAAAFe+n1U=")</f>
        <v>#REF!</v>
      </c>
      <c r="CI49" t="e">
        <f>AND(#REF!,"AAAAAFe+n1Y=")</f>
        <v>#REF!</v>
      </c>
      <c r="CJ49" t="e">
        <f>AND(#REF!,"AAAAAFe+n1c=")</f>
        <v>#REF!</v>
      </c>
      <c r="CK49" t="e">
        <f>AND(#REF!,"AAAAAFe+n1g=")</f>
        <v>#REF!</v>
      </c>
      <c r="CL49" t="e">
        <f>AND(#REF!,"AAAAAFe+n1k=")</f>
        <v>#REF!</v>
      </c>
      <c r="CM49" t="e">
        <f>AND(#REF!,"AAAAAFe+n1o=")</f>
        <v>#REF!</v>
      </c>
      <c r="CN49" t="e">
        <f>AND(#REF!,"AAAAAFe+n1s=")</f>
        <v>#REF!</v>
      </c>
      <c r="CO49" t="e">
        <f>IF(#REF!,"AAAAAFe+n1w=",0)</f>
        <v>#REF!</v>
      </c>
      <c r="CP49" t="e">
        <f>AND(#REF!,"AAAAAFe+n10=")</f>
        <v>#REF!</v>
      </c>
      <c r="CQ49" t="e">
        <f>AND(#REF!,"AAAAAFe+n14=")</f>
        <v>#REF!</v>
      </c>
      <c r="CR49" t="e">
        <f>AND(#REF!,"AAAAAFe+n18=")</f>
        <v>#REF!</v>
      </c>
      <c r="CS49" t="e">
        <f>AND(#REF!,"AAAAAFe+n2A=")</f>
        <v>#REF!</v>
      </c>
      <c r="CT49" t="e">
        <f>AND(#REF!,"AAAAAFe+n2E=")</f>
        <v>#REF!</v>
      </c>
      <c r="CU49" t="e">
        <f>AND(#REF!,"AAAAAFe+n2I=")</f>
        <v>#REF!</v>
      </c>
      <c r="CV49" t="e">
        <f>AND(#REF!,"AAAAAFe+n2M=")</f>
        <v>#REF!</v>
      </c>
      <c r="CW49" t="e">
        <f>AND(#REF!,"AAAAAFe+n2Q=")</f>
        <v>#REF!</v>
      </c>
      <c r="CX49" t="e">
        <f>AND(#REF!,"AAAAAFe+n2U=")</f>
        <v>#REF!</v>
      </c>
      <c r="CY49" t="e">
        <f>AND(#REF!,"AAAAAFe+n2Y=")</f>
        <v>#REF!</v>
      </c>
      <c r="CZ49" t="e">
        <f>AND(#REF!,"AAAAAFe+n2c=")</f>
        <v>#REF!</v>
      </c>
      <c r="DA49" t="e">
        <f>AND(#REF!,"AAAAAFe+n2g=")</f>
        <v>#REF!</v>
      </c>
      <c r="DB49" t="e">
        <f>IF(#REF!,"AAAAAFe+n2k=",0)</f>
        <v>#REF!</v>
      </c>
      <c r="DC49" t="e">
        <f>AND(#REF!,"AAAAAFe+n2o=")</f>
        <v>#REF!</v>
      </c>
      <c r="DD49" t="e">
        <f>AND(#REF!,"AAAAAFe+n2s=")</f>
        <v>#REF!</v>
      </c>
      <c r="DE49" t="e">
        <f>AND(#REF!,"AAAAAFe+n2w=")</f>
        <v>#REF!</v>
      </c>
      <c r="DF49" t="e">
        <f>AND(#REF!,"AAAAAFe+n20=")</f>
        <v>#REF!</v>
      </c>
      <c r="DG49" t="e">
        <f>AND(#REF!,"AAAAAFe+n24=")</f>
        <v>#REF!</v>
      </c>
      <c r="DH49" t="e">
        <f>AND(#REF!,"AAAAAFe+n28=")</f>
        <v>#REF!</v>
      </c>
      <c r="DI49" t="e">
        <f>AND(#REF!,"AAAAAFe+n3A=")</f>
        <v>#REF!</v>
      </c>
      <c r="DJ49" t="e">
        <f>AND(#REF!,"AAAAAFe+n3E=")</f>
        <v>#REF!</v>
      </c>
      <c r="DK49" t="e">
        <f>AND(#REF!,"AAAAAFe+n3I=")</f>
        <v>#REF!</v>
      </c>
      <c r="DL49" t="e">
        <f>AND(#REF!,"AAAAAFe+n3M=")</f>
        <v>#REF!</v>
      </c>
      <c r="DM49" t="e">
        <f>AND(#REF!,"AAAAAFe+n3Q=")</f>
        <v>#REF!</v>
      </c>
      <c r="DN49" t="e">
        <f>AND(#REF!,"AAAAAFe+n3U=")</f>
        <v>#REF!</v>
      </c>
      <c r="DO49" t="e">
        <f>IF(#REF!,"AAAAAFe+n3Y=",0)</f>
        <v>#REF!</v>
      </c>
      <c r="DP49" t="e">
        <f>AND(#REF!,"AAAAAFe+n3c=")</f>
        <v>#REF!</v>
      </c>
      <c r="DQ49" t="e">
        <f>AND(#REF!,"AAAAAFe+n3g=")</f>
        <v>#REF!</v>
      </c>
      <c r="DR49" t="e">
        <f>AND(#REF!,"AAAAAFe+n3k=")</f>
        <v>#REF!</v>
      </c>
      <c r="DS49" t="e">
        <f>AND(#REF!,"AAAAAFe+n3o=")</f>
        <v>#REF!</v>
      </c>
      <c r="DT49" t="e">
        <f>AND(#REF!,"AAAAAFe+n3s=")</f>
        <v>#REF!</v>
      </c>
      <c r="DU49" t="e">
        <f>AND(#REF!,"AAAAAFe+n3w=")</f>
        <v>#REF!</v>
      </c>
      <c r="DV49" t="e">
        <f>AND(#REF!,"AAAAAFe+n30=")</f>
        <v>#REF!</v>
      </c>
      <c r="DW49" t="e">
        <f>AND(#REF!,"AAAAAFe+n34=")</f>
        <v>#REF!</v>
      </c>
      <c r="DX49" t="e">
        <f>AND(#REF!,"AAAAAFe+n38=")</f>
        <v>#REF!</v>
      </c>
      <c r="DY49" t="e">
        <f>AND(#REF!,"AAAAAFe+n4A=")</f>
        <v>#REF!</v>
      </c>
      <c r="DZ49" t="e">
        <f>AND(#REF!,"AAAAAFe+n4E=")</f>
        <v>#REF!</v>
      </c>
      <c r="EA49" t="e">
        <f>AND(#REF!,"AAAAAFe+n4I=")</f>
        <v>#REF!</v>
      </c>
      <c r="EB49" t="e">
        <f>IF(#REF!,"AAAAAFe+n4M=",0)</f>
        <v>#REF!</v>
      </c>
      <c r="EC49" t="e">
        <f>AND(#REF!,"AAAAAFe+n4Q=")</f>
        <v>#REF!</v>
      </c>
      <c r="ED49" t="e">
        <f>AND(#REF!,"AAAAAFe+n4U=")</f>
        <v>#REF!</v>
      </c>
      <c r="EE49" t="e">
        <f>AND(#REF!,"AAAAAFe+n4Y=")</f>
        <v>#REF!</v>
      </c>
      <c r="EF49" t="e">
        <f>AND(#REF!,"AAAAAFe+n4c=")</f>
        <v>#REF!</v>
      </c>
      <c r="EG49" t="e">
        <f>AND(#REF!,"AAAAAFe+n4g=")</f>
        <v>#REF!</v>
      </c>
      <c r="EH49" t="e">
        <f>AND(#REF!,"AAAAAFe+n4k=")</f>
        <v>#REF!</v>
      </c>
      <c r="EI49" t="e">
        <f>AND(#REF!,"AAAAAFe+n4o=")</f>
        <v>#REF!</v>
      </c>
      <c r="EJ49" t="e">
        <f>AND(#REF!,"AAAAAFe+n4s=")</f>
        <v>#REF!</v>
      </c>
      <c r="EK49" t="e">
        <f>AND(#REF!,"AAAAAFe+n4w=")</f>
        <v>#REF!</v>
      </c>
      <c r="EL49" t="e">
        <f>AND(#REF!,"AAAAAFe+n40=")</f>
        <v>#REF!</v>
      </c>
      <c r="EM49" t="e">
        <f>AND(#REF!,"AAAAAFe+n44=")</f>
        <v>#REF!</v>
      </c>
      <c r="EN49" t="e">
        <f>AND(#REF!,"AAAAAFe+n48=")</f>
        <v>#REF!</v>
      </c>
      <c r="EO49" t="e">
        <f>IF(#REF!,"AAAAAFe+n5A=",0)</f>
        <v>#REF!</v>
      </c>
      <c r="EP49" t="e">
        <f>AND(#REF!,"AAAAAFe+n5E=")</f>
        <v>#REF!</v>
      </c>
      <c r="EQ49" t="e">
        <f>AND(#REF!,"AAAAAFe+n5I=")</f>
        <v>#REF!</v>
      </c>
      <c r="ER49" t="e">
        <f>AND(#REF!,"AAAAAFe+n5M=")</f>
        <v>#REF!</v>
      </c>
      <c r="ES49" t="e">
        <f>AND(#REF!,"AAAAAFe+n5Q=")</f>
        <v>#REF!</v>
      </c>
      <c r="ET49" t="e">
        <f>AND(#REF!,"AAAAAFe+n5U=")</f>
        <v>#REF!</v>
      </c>
      <c r="EU49" t="e">
        <f>AND(#REF!,"AAAAAFe+n5Y=")</f>
        <v>#REF!</v>
      </c>
      <c r="EV49" t="e">
        <f>AND(#REF!,"AAAAAFe+n5c=")</f>
        <v>#REF!</v>
      </c>
      <c r="EW49" t="e">
        <f>AND(#REF!,"AAAAAFe+n5g=")</f>
        <v>#REF!</v>
      </c>
      <c r="EX49" t="e">
        <f>AND(#REF!,"AAAAAFe+n5k=")</f>
        <v>#REF!</v>
      </c>
      <c r="EY49" t="e">
        <f>AND(#REF!,"AAAAAFe+n5o=")</f>
        <v>#REF!</v>
      </c>
      <c r="EZ49" t="e">
        <f>AND(#REF!,"AAAAAFe+n5s=")</f>
        <v>#REF!</v>
      </c>
      <c r="FA49" t="e">
        <f>AND(#REF!,"AAAAAFe+n5w=")</f>
        <v>#REF!</v>
      </c>
      <c r="FB49" t="e">
        <f>IF(#REF!,"AAAAAFe+n50=",0)</f>
        <v>#REF!</v>
      </c>
      <c r="FC49" t="e">
        <f>AND(#REF!,"AAAAAFe+n54=")</f>
        <v>#REF!</v>
      </c>
      <c r="FD49" t="e">
        <f>AND(#REF!,"AAAAAFe+n58=")</f>
        <v>#REF!</v>
      </c>
      <c r="FE49" t="e">
        <f>AND(#REF!,"AAAAAFe+n6A=")</f>
        <v>#REF!</v>
      </c>
      <c r="FF49" t="e">
        <f>AND(#REF!,"AAAAAFe+n6E=")</f>
        <v>#REF!</v>
      </c>
      <c r="FG49" t="e">
        <f>AND(#REF!,"AAAAAFe+n6I=")</f>
        <v>#REF!</v>
      </c>
      <c r="FH49" t="e">
        <f>AND(#REF!,"AAAAAFe+n6M=")</f>
        <v>#REF!</v>
      </c>
      <c r="FI49" t="e">
        <f>AND(#REF!,"AAAAAFe+n6Q=")</f>
        <v>#REF!</v>
      </c>
      <c r="FJ49" t="e">
        <f>AND(#REF!,"AAAAAFe+n6U=")</f>
        <v>#REF!</v>
      </c>
      <c r="FK49" t="e">
        <f>AND(#REF!,"AAAAAFe+n6Y=")</f>
        <v>#REF!</v>
      </c>
      <c r="FL49" t="e">
        <f>AND(#REF!,"AAAAAFe+n6c=")</f>
        <v>#REF!</v>
      </c>
      <c r="FM49" t="e">
        <f>AND(#REF!,"AAAAAFe+n6g=")</f>
        <v>#REF!</v>
      </c>
      <c r="FN49" t="e">
        <f>AND(#REF!,"AAAAAFe+n6k=")</f>
        <v>#REF!</v>
      </c>
      <c r="FO49" t="e">
        <f>IF(#REF!,"AAAAAFe+n6o=",0)</f>
        <v>#REF!</v>
      </c>
      <c r="FP49" t="e">
        <f>AND(#REF!,"AAAAAFe+n6s=")</f>
        <v>#REF!</v>
      </c>
      <c r="FQ49" t="e">
        <f>AND(#REF!,"AAAAAFe+n6w=")</f>
        <v>#REF!</v>
      </c>
      <c r="FR49" t="e">
        <f>AND(#REF!,"AAAAAFe+n60=")</f>
        <v>#REF!</v>
      </c>
      <c r="FS49" t="e">
        <f>AND(#REF!,"AAAAAFe+n64=")</f>
        <v>#REF!</v>
      </c>
      <c r="FT49" t="e">
        <f>AND(#REF!,"AAAAAFe+n68=")</f>
        <v>#REF!</v>
      </c>
      <c r="FU49" t="e">
        <f>AND(#REF!,"AAAAAFe+n7A=")</f>
        <v>#REF!</v>
      </c>
      <c r="FV49" t="e">
        <f>AND(#REF!,"AAAAAFe+n7E=")</f>
        <v>#REF!</v>
      </c>
      <c r="FW49" t="e">
        <f>AND(#REF!,"AAAAAFe+n7I=")</f>
        <v>#REF!</v>
      </c>
      <c r="FX49" t="e">
        <f>AND(#REF!,"AAAAAFe+n7M=")</f>
        <v>#REF!</v>
      </c>
      <c r="FY49" t="e">
        <f>AND(#REF!,"AAAAAFe+n7Q=")</f>
        <v>#REF!</v>
      </c>
      <c r="FZ49" t="e">
        <f>AND(#REF!,"AAAAAFe+n7U=")</f>
        <v>#REF!</v>
      </c>
      <c r="GA49" t="e">
        <f>AND(#REF!,"AAAAAFe+n7Y=")</f>
        <v>#REF!</v>
      </c>
      <c r="GB49" t="e">
        <f>IF(#REF!,"AAAAAFe+n7c=",0)</f>
        <v>#REF!</v>
      </c>
      <c r="GC49" t="e">
        <f>AND(#REF!,"AAAAAFe+n7g=")</f>
        <v>#REF!</v>
      </c>
      <c r="GD49" t="e">
        <f>AND(#REF!,"AAAAAFe+n7k=")</f>
        <v>#REF!</v>
      </c>
      <c r="GE49" t="e">
        <f>AND(#REF!,"AAAAAFe+n7o=")</f>
        <v>#REF!</v>
      </c>
      <c r="GF49" t="e">
        <f>AND(#REF!,"AAAAAFe+n7s=")</f>
        <v>#REF!</v>
      </c>
      <c r="GG49" t="e">
        <f>AND(#REF!,"AAAAAFe+n7w=")</f>
        <v>#REF!</v>
      </c>
      <c r="GH49" t="e">
        <f>AND(#REF!,"AAAAAFe+n70=")</f>
        <v>#REF!</v>
      </c>
      <c r="GI49" t="e">
        <f>AND(#REF!,"AAAAAFe+n74=")</f>
        <v>#REF!</v>
      </c>
      <c r="GJ49" t="e">
        <f>AND(#REF!,"AAAAAFe+n78=")</f>
        <v>#REF!</v>
      </c>
      <c r="GK49" t="e">
        <f>AND(#REF!,"AAAAAFe+n8A=")</f>
        <v>#REF!</v>
      </c>
      <c r="GL49" t="e">
        <f>AND(#REF!,"AAAAAFe+n8E=")</f>
        <v>#REF!</v>
      </c>
      <c r="GM49" t="e">
        <f>AND(#REF!,"AAAAAFe+n8I=")</f>
        <v>#REF!</v>
      </c>
      <c r="GN49" t="e">
        <f>AND(#REF!,"AAAAAFe+n8M=")</f>
        <v>#REF!</v>
      </c>
      <c r="GO49" t="e">
        <f>IF(#REF!,"AAAAAFe+n8Q=",0)</f>
        <v>#REF!</v>
      </c>
      <c r="GP49" t="e">
        <f>AND(#REF!,"AAAAAFe+n8U=")</f>
        <v>#REF!</v>
      </c>
      <c r="GQ49" t="e">
        <f>AND(#REF!,"AAAAAFe+n8Y=")</f>
        <v>#REF!</v>
      </c>
      <c r="GR49" t="e">
        <f>AND(#REF!,"AAAAAFe+n8c=")</f>
        <v>#REF!</v>
      </c>
      <c r="GS49" t="e">
        <f>AND(#REF!,"AAAAAFe+n8g=")</f>
        <v>#REF!</v>
      </c>
      <c r="GT49" t="e">
        <f>AND(#REF!,"AAAAAFe+n8k=")</f>
        <v>#REF!</v>
      </c>
      <c r="GU49" t="e">
        <f>AND(#REF!,"AAAAAFe+n8o=")</f>
        <v>#REF!</v>
      </c>
      <c r="GV49" t="e">
        <f>AND(#REF!,"AAAAAFe+n8s=")</f>
        <v>#REF!</v>
      </c>
      <c r="GW49" t="e">
        <f>AND(#REF!,"AAAAAFe+n8w=")</f>
        <v>#REF!</v>
      </c>
      <c r="GX49" t="e">
        <f>AND(#REF!,"AAAAAFe+n80=")</f>
        <v>#REF!</v>
      </c>
      <c r="GY49" t="e">
        <f>AND(#REF!,"AAAAAFe+n84=")</f>
        <v>#REF!</v>
      </c>
      <c r="GZ49" t="e">
        <f>AND(#REF!,"AAAAAFe+n88=")</f>
        <v>#REF!</v>
      </c>
      <c r="HA49" t="e">
        <f>AND(#REF!,"AAAAAFe+n9A=")</f>
        <v>#REF!</v>
      </c>
      <c r="HB49" t="e">
        <f>IF(#REF!,"AAAAAFe+n9E=",0)</f>
        <v>#REF!</v>
      </c>
      <c r="HC49" t="e">
        <f>AND(#REF!,"AAAAAFe+n9I=")</f>
        <v>#REF!</v>
      </c>
      <c r="HD49" t="e">
        <f>AND(#REF!,"AAAAAFe+n9M=")</f>
        <v>#REF!</v>
      </c>
      <c r="HE49" t="e">
        <f>AND(#REF!,"AAAAAFe+n9Q=")</f>
        <v>#REF!</v>
      </c>
      <c r="HF49" t="e">
        <f>AND(#REF!,"AAAAAFe+n9U=")</f>
        <v>#REF!</v>
      </c>
      <c r="HG49" t="e">
        <f>AND(#REF!,"AAAAAFe+n9Y=")</f>
        <v>#REF!</v>
      </c>
      <c r="HH49" t="e">
        <f>AND(#REF!,"AAAAAFe+n9c=")</f>
        <v>#REF!</v>
      </c>
      <c r="HI49" t="e">
        <f>AND(#REF!,"AAAAAFe+n9g=")</f>
        <v>#REF!</v>
      </c>
      <c r="HJ49" t="e">
        <f>AND(#REF!,"AAAAAFe+n9k=")</f>
        <v>#REF!</v>
      </c>
      <c r="HK49" t="e">
        <f>AND(#REF!,"AAAAAFe+n9o=")</f>
        <v>#REF!</v>
      </c>
      <c r="HL49" t="e">
        <f>AND(#REF!,"AAAAAFe+n9s=")</f>
        <v>#REF!</v>
      </c>
      <c r="HM49" t="e">
        <f>AND(#REF!,"AAAAAFe+n9w=")</f>
        <v>#REF!</v>
      </c>
      <c r="HN49" t="e">
        <f>AND(#REF!,"AAAAAFe+n90=")</f>
        <v>#REF!</v>
      </c>
      <c r="HO49" t="e">
        <f>IF(#REF!,"AAAAAFe+n94=",0)</f>
        <v>#REF!</v>
      </c>
      <c r="HP49" t="e">
        <f>AND(#REF!,"AAAAAFe+n98=")</f>
        <v>#REF!</v>
      </c>
      <c r="HQ49" t="e">
        <f>AND(#REF!,"AAAAAFe+n+A=")</f>
        <v>#REF!</v>
      </c>
      <c r="HR49" t="e">
        <f>AND(#REF!,"AAAAAFe+n+E=")</f>
        <v>#REF!</v>
      </c>
      <c r="HS49" t="e">
        <f>AND(#REF!,"AAAAAFe+n+I=")</f>
        <v>#REF!</v>
      </c>
      <c r="HT49" t="e">
        <f>AND(#REF!,"AAAAAFe+n+M=")</f>
        <v>#REF!</v>
      </c>
      <c r="HU49" t="e">
        <f>AND(#REF!,"AAAAAFe+n+Q=")</f>
        <v>#REF!</v>
      </c>
      <c r="HV49" t="e">
        <f>AND(#REF!,"AAAAAFe+n+U=")</f>
        <v>#REF!</v>
      </c>
      <c r="HW49" t="e">
        <f>AND(#REF!,"AAAAAFe+n+Y=")</f>
        <v>#REF!</v>
      </c>
      <c r="HX49" t="e">
        <f>AND(#REF!,"AAAAAFe+n+c=")</f>
        <v>#REF!</v>
      </c>
      <c r="HY49" t="e">
        <f>AND(#REF!,"AAAAAFe+n+g=")</f>
        <v>#REF!</v>
      </c>
      <c r="HZ49" t="e">
        <f>AND(#REF!,"AAAAAFe+n+k=")</f>
        <v>#REF!</v>
      </c>
      <c r="IA49" t="e">
        <f>AND(#REF!,"AAAAAFe+n+o=")</f>
        <v>#REF!</v>
      </c>
      <c r="IB49" t="e">
        <f>IF(#REF!,"AAAAAFe+n+s=",0)</f>
        <v>#REF!</v>
      </c>
      <c r="IC49" t="e">
        <f>AND(#REF!,"AAAAAFe+n+w=")</f>
        <v>#REF!</v>
      </c>
      <c r="ID49" t="e">
        <f>AND(#REF!,"AAAAAFe+n+0=")</f>
        <v>#REF!</v>
      </c>
      <c r="IE49" t="e">
        <f>AND(#REF!,"AAAAAFe+n+4=")</f>
        <v>#REF!</v>
      </c>
      <c r="IF49" t="e">
        <f>AND(#REF!,"AAAAAFe+n+8=")</f>
        <v>#REF!</v>
      </c>
      <c r="IG49" t="e">
        <f>AND(#REF!,"AAAAAFe+n/A=")</f>
        <v>#REF!</v>
      </c>
      <c r="IH49" t="e">
        <f>AND(#REF!,"AAAAAFe+n/E=")</f>
        <v>#REF!</v>
      </c>
      <c r="II49" t="e">
        <f>AND(#REF!,"AAAAAFe+n/I=")</f>
        <v>#REF!</v>
      </c>
      <c r="IJ49" t="e">
        <f>AND(#REF!,"AAAAAFe+n/M=")</f>
        <v>#REF!</v>
      </c>
      <c r="IK49" t="e">
        <f>AND(#REF!,"AAAAAFe+n/Q=")</f>
        <v>#REF!</v>
      </c>
      <c r="IL49" t="e">
        <f>AND(#REF!,"AAAAAFe+n/U=")</f>
        <v>#REF!</v>
      </c>
      <c r="IM49" t="e">
        <f>AND(#REF!,"AAAAAFe+n/Y=")</f>
        <v>#REF!</v>
      </c>
      <c r="IN49" t="e">
        <f>AND(#REF!,"AAAAAFe+n/c=")</f>
        <v>#REF!</v>
      </c>
      <c r="IO49" t="e">
        <f>IF(#REF!,"AAAAAFe+n/g=",0)</f>
        <v>#REF!</v>
      </c>
      <c r="IP49" t="e">
        <f>AND(#REF!,"AAAAAFe+n/k=")</f>
        <v>#REF!</v>
      </c>
      <c r="IQ49" t="e">
        <f>AND(#REF!,"AAAAAFe+n/o=")</f>
        <v>#REF!</v>
      </c>
      <c r="IR49" t="e">
        <f>AND(#REF!,"AAAAAFe+n/s=")</f>
        <v>#REF!</v>
      </c>
      <c r="IS49" t="e">
        <f>AND(#REF!,"AAAAAFe+n/w=")</f>
        <v>#REF!</v>
      </c>
      <c r="IT49" t="e">
        <f>AND(#REF!,"AAAAAFe+n/0=")</f>
        <v>#REF!</v>
      </c>
      <c r="IU49" t="e">
        <f>AND(#REF!,"AAAAAFe+n/4=")</f>
        <v>#REF!</v>
      </c>
      <c r="IV49" t="e">
        <f>AND(#REF!,"AAAAAFe+n/8=")</f>
        <v>#REF!</v>
      </c>
    </row>
    <row r="50" spans="1:256">
      <c r="A50" t="e">
        <f>AND(#REF!,"AAAAAHub7AA=")</f>
        <v>#REF!</v>
      </c>
      <c r="B50" t="e">
        <f>AND(#REF!,"AAAAAHub7AE=")</f>
        <v>#REF!</v>
      </c>
      <c r="C50" t="e">
        <f>AND(#REF!,"AAAAAHub7AI=")</f>
        <v>#REF!</v>
      </c>
      <c r="D50" t="e">
        <f>AND(#REF!,"AAAAAHub7AM=")</f>
        <v>#REF!</v>
      </c>
      <c r="E50" t="e">
        <f>AND(#REF!,"AAAAAHub7AQ=")</f>
        <v>#REF!</v>
      </c>
      <c r="F50" t="e">
        <f>IF(#REF!,"AAAAAHub7AU=",0)</f>
        <v>#REF!</v>
      </c>
      <c r="G50" t="e">
        <f>AND(#REF!,"AAAAAHub7AY=")</f>
        <v>#REF!</v>
      </c>
      <c r="H50" t="e">
        <f>AND(#REF!,"AAAAAHub7Ac=")</f>
        <v>#REF!</v>
      </c>
      <c r="I50" t="e">
        <f>AND(#REF!,"AAAAAHub7Ag=")</f>
        <v>#REF!</v>
      </c>
      <c r="J50" t="e">
        <f>AND(#REF!,"AAAAAHub7Ak=")</f>
        <v>#REF!</v>
      </c>
      <c r="K50" t="e">
        <f>AND(#REF!,"AAAAAHub7Ao=")</f>
        <v>#REF!</v>
      </c>
      <c r="L50" t="e">
        <f>AND(#REF!,"AAAAAHub7As=")</f>
        <v>#REF!</v>
      </c>
      <c r="M50" t="e">
        <f>AND(#REF!,"AAAAAHub7Aw=")</f>
        <v>#REF!</v>
      </c>
      <c r="N50" t="e">
        <f>AND(#REF!,"AAAAAHub7A0=")</f>
        <v>#REF!</v>
      </c>
      <c r="O50" t="e">
        <f>AND(#REF!,"AAAAAHub7A4=")</f>
        <v>#REF!</v>
      </c>
      <c r="P50" t="e">
        <f>AND(#REF!,"AAAAAHub7A8=")</f>
        <v>#REF!</v>
      </c>
      <c r="Q50" t="e">
        <f>AND(#REF!,"AAAAAHub7BA=")</f>
        <v>#REF!</v>
      </c>
      <c r="R50" t="e">
        <f>AND(#REF!,"AAAAAHub7BE=")</f>
        <v>#REF!</v>
      </c>
      <c r="S50" t="e">
        <f>IF(#REF!,"AAAAAHub7BI=",0)</f>
        <v>#REF!</v>
      </c>
      <c r="T50" t="e">
        <f>AND(#REF!,"AAAAAHub7BM=")</f>
        <v>#REF!</v>
      </c>
      <c r="U50" t="e">
        <f>AND(#REF!,"AAAAAHub7BQ=")</f>
        <v>#REF!</v>
      </c>
      <c r="V50" t="e">
        <f>AND(#REF!,"AAAAAHub7BU=")</f>
        <v>#REF!</v>
      </c>
      <c r="W50" t="e">
        <f>AND(#REF!,"AAAAAHub7BY=")</f>
        <v>#REF!</v>
      </c>
      <c r="X50" t="e">
        <f>AND(#REF!,"AAAAAHub7Bc=")</f>
        <v>#REF!</v>
      </c>
      <c r="Y50" t="e">
        <f>AND(#REF!,"AAAAAHub7Bg=")</f>
        <v>#REF!</v>
      </c>
      <c r="Z50" t="e">
        <f>AND(#REF!,"AAAAAHub7Bk=")</f>
        <v>#REF!</v>
      </c>
      <c r="AA50" t="e">
        <f>AND(#REF!,"AAAAAHub7Bo=")</f>
        <v>#REF!</v>
      </c>
      <c r="AB50" t="e">
        <f>AND(#REF!,"AAAAAHub7Bs=")</f>
        <v>#REF!</v>
      </c>
      <c r="AC50" t="e">
        <f>AND(#REF!,"AAAAAHub7Bw=")</f>
        <v>#REF!</v>
      </c>
      <c r="AD50" t="e">
        <f>AND(#REF!,"AAAAAHub7B0=")</f>
        <v>#REF!</v>
      </c>
      <c r="AE50" t="e">
        <f>AND(#REF!,"AAAAAHub7B4=")</f>
        <v>#REF!</v>
      </c>
      <c r="AF50" t="e">
        <f>IF(#REF!,"AAAAAHub7B8=",0)</f>
        <v>#REF!</v>
      </c>
      <c r="AG50" t="e">
        <f>AND(#REF!,"AAAAAHub7CA=")</f>
        <v>#REF!</v>
      </c>
      <c r="AH50" t="e">
        <f>AND(#REF!,"AAAAAHub7CE=")</f>
        <v>#REF!</v>
      </c>
      <c r="AI50" t="e">
        <f>AND(#REF!,"AAAAAHub7CI=")</f>
        <v>#REF!</v>
      </c>
      <c r="AJ50" t="e">
        <f>AND(#REF!,"AAAAAHub7CM=")</f>
        <v>#REF!</v>
      </c>
      <c r="AK50" t="e">
        <f>AND(#REF!,"AAAAAHub7CQ=")</f>
        <v>#REF!</v>
      </c>
      <c r="AL50" t="e">
        <f>AND(#REF!,"AAAAAHub7CU=")</f>
        <v>#REF!</v>
      </c>
      <c r="AM50" t="e">
        <f>AND(#REF!,"AAAAAHub7CY=")</f>
        <v>#REF!</v>
      </c>
      <c r="AN50" t="e">
        <f>AND(#REF!,"AAAAAHub7Cc=")</f>
        <v>#REF!</v>
      </c>
      <c r="AO50" t="e">
        <f>AND(#REF!,"AAAAAHub7Cg=")</f>
        <v>#REF!</v>
      </c>
      <c r="AP50" t="e">
        <f>AND(#REF!,"AAAAAHub7Ck=")</f>
        <v>#REF!</v>
      </c>
      <c r="AQ50" t="e">
        <f>AND(#REF!,"AAAAAHub7Co=")</f>
        <v>#REF!</v>
      </c>
      <c r="AR50" t="e">
        <f>AND(#REF!,"AAAAAHub7Cs=")</f>
        <v>#REF!</v>
      </c>
      <c r="AS50" t="e">
        <f>IF(#REF!,"AAAAAHub7Cw=",0)</f>
        <v>#REF!</v>
      </c>
      <c r="AT50" t="e">
        <f>AND(#REF!,"AAAAAHub7C0=")</f>
        <v>#REF!</v>
      </c>
      <c r="AU50" t="e">
        <f>AND(#REF!,"AAAAAHub7C4=")</f>
        <v>#REF!</v>
      </c>
      <c r="AV50" t="e">
        <f>AND(#REF!,"AAAAAHub7C8=")</f>
        <v>#REF!</v>
      </c>
      <c r="AW50" t="e">
        <f>AND(#REF!,"AAAAAHub7DA=")</f>
        <v>#REF!</v>
      </c>
      <c r="AX50" t="e">
        <f>AND(#REF!,"AAAAAHub7DE=")</f>
        <v>#REF!</v>
      </c>
      <c r="AY50" t="e">
        <f>AND(#REF!,"AAAAAHub7DI=")</f>
        <v>#REF!</v>
      </c>
      <c r="AZ50" t="e">
        <f>AND(#REF!,"AAAAAHub7DM=")</f>
        <v>#REF!</v>
      </c>
      <c r="BA50" t="e">
        <f>AND(#REF!,"AAAAAHub7DQ=")</f>
        <v>#REF!</v>
      </c>
      <c r="BB50" t="e">
        <f>AND(#REF!,"AAAAAHub7DU=")</f>
        <v>#REF!</v>
      </c>
      <c r="BC50" t="e">
        <f>AND(#REF!,"AAAAAHub7DY=")</f>
        <v>#REF!</v>
      </c>
      <c r="BD50" t="e">
        <f>AND(#REF!,"AAAAAHub7Dc=")</f>
        <v>#REF!</v>
      </c>
      <c r="BE50" t="e">
        <f>AND(#REF!,"AAAAAHub7Dg=")</f>
        <v>#REF!</v>
      </c>
      <c r="BF50" t="e">
        <f>IF(#REF!,"AAAAAHub7Dk=",0)</f>
        <v>#REF!</v>
      </c>
      <c r="BG50" t="e">
        <f>AND(#REF!,"AAAAAHub7Do=")</f>
        <v>#REF!</v>
      </c>
      <c r="BH50" t="e">
        <f>AND(#REF!,"AAAAAHub7Ds=")</f>
        <v>#REF!</v>
      </c>
      <c r="BI50" t="e">
        <f>AND(#REF!,"AAAAAHub7Dw=")</f>
        <v>#REF!</v>
      </c>
      <c r="BJ50" t="e">
        <f>AND(#REF!,"AAAAAHub7D0=")</f>
        <v>#REF!</v>
      </c>
      <c r="BK50" t="e">
        <f>AND(#REF!,"AAAAAHub7D4=")</f>
        <v>#REF!</v>
      </c>
      <c r="BL50" t="e">
        <f>AND(#REF!,"AAAAAHub7D8=")</f>
        <v>#REF!</v>
      </c>
      <c r="BM50" t="e">
        <f>AND(#REF!,"AAAAAHub7EA=")</f>
        <v>#REF!</v>
      </c>
      <c r="BN50" t="e">
        <f>AND(#REF!,"AAAAAHub7EE=")</f>
        <v>#REF!</v>
      </c>
      <c r="BO50" t="e">
        <f>AND(#REF!,"AAAAAHub7EI=")</f>
        <v>#REF!</v>
      </c>
      <c r="BP50" t="e">
        <f>AND(#REF!,"AAAAAHub7EM=")</f>
        <v>#REF!</v>
      </c>
      <c r="BQ50" t="e">
        <f>AND(#REF!,"AAAAAHub7EQ=")</f>
        <v>#REF!</v>
      </c>
      <c r="BR50" t="e">
        <f>AND(#REF!,"AAAAAHub7EU=")</f>
        <v>#REF!</v>
      </c>
      <c r="BS50" t="e">
        <f>IF(#REF!,"AAAAAHub7EY=",0)</f>
        <v>#REF!</v>
      </c>
      <c r="BT50" t="e">
        <f>AND(#REF!,"AAAAAHub7Ec=")</f>
        <v>#REF!</v>
      </c>
      <c r="BU50" t="e">
        <f>AND(#REF!,"AAAAAHub7Eg=")</f>
        <v>#REF!</v>
      </c>
      <c r="BV50" t="e">
        <f>AND(#REF!,"AAAAAHub7Ek=")</f>
        <v>#REF!</v>
      </c>
      <c r="BW50" t="e">
        <f>AND(#REF!,"AAAAAHub7Eo=")</f>
        <v>#REF!</v>
      </c>
      <c r="BX50" t="e">
        <f>AND(#REF!,"AAAAAHub7Es=")</f>
        <v>#REF!</v>
      </c>
      <c r="BY50" t="e">
        <f>AND(#REF!,"AAAAAHub7Ew=")</f>
        <v>#REF!</v>
      </c>
      <c r="BZ50" t="e">
        <f>AND(#REF!,"AAAAAHub7E0=")</f>
        <v>#REF!</v>
      </c>
      <c r="CA50" t="e">
        <f>AND(#REF!,"AAAAAHub7E4=")</f>
        <v>#REF!</v>
      </c>
      <c r="CB50" t="e">
        <f>AND(#REF!,"AAAAAHub7E8=")</f>
        <v>#REF!</v>
      </c>
      <c r="CC50" t="e">
        <f>AND(#REF!,"AAAAAHub7FA=")</f>
        <v>#REF!</v>
      </c>
      <c r="CD50" t="e">
        <f>AND(#REF!,"AAAAAHub7FE=")</f>
        <v>#REF!</v>
      </c>
      <c r="CE50" t="e">
        <f>AND(#REF!,"AAAAAHub7FI=")</f>
        <v>#REF!</v>
      </c>
      <c r="CF50" t="e">
        <f>IF(#REF!,"AAAAAHub7FM=",0)</f>
        <v>#REF!</v>
      </c>
      <c r="CG50" t="e">
        <f>AND(#REF!,"AAAAAHub7FQ=")</f>
        <v>#REF!</v>
      </c>
      <c r="CH50" t="e">
        <f>AND(#REF!,"AAAAAHub7FU=")</f>
        <v>#REF!</v>
      </c>
      <c r="CI50" t="e">
        <f>AND(#REF!,"AAAAAHub7FY=")</f>
        <v>#REF!</v>
      </c>
      <c r="CJ50" t="e">
        <f>AND(#REF!,"AAAAAHub7Fc=")</f>
        <v>#REF!</v>
      </c>
      <c r="CK50" t="e">
        <f>AND(#REF!,"AAAAAHub7Fg=")</f>
        <v>#REF!</v>
      </c>
      <c r="CL50" t="e">
        <f>AND(#REF!,"AAAAAHub7Fk=")</f>
        <v>#REF!</v>
      </c>
      <c r="CM50" t="e">
        <f>AND(#REF!,"AAAAAHub7Fo=")</f>
        <v>#REF!</v>
      </c>
      <c r="CN50" t="e">
        <f>AND(#REF!,"AAAAAHub7Fs=")</f>
        <v>#REF!</v>
      </c>
      <c r="CO50" t="e">
        <f>AND(#REF!,"AAAAAHub7Fw=")</f>
        <v>#REF!</v>
      </c>
      <c r="CP50" t="e">
        <f>AND(#REF!,"AAAAAHub7F0=")</f>
        <v>#REF!</v>
      </c>
      <c r="CQ50" t="e">
        <f>AND(#REF!,"AAAAAHub7F4=")</f>
        <v>#REF!</v>
      </c>
      <c r="CR50" t="e">
        <f>AND(#REF!,"AAAAAHub7F8=")</f>
        <v>#REF!</v>
      </c>
      <c r="CS50" t="e">
        <f>IF(#REF!,"AAAAAHub7GA=",0)</f>
        <v>#REF!</v>
      </c>
      <c r="CT50" t="e">
        <f>AND(#REF!,"AAAAAHub7GE=")</f>
        <v>#REF!</v>
      </c>
      <c r="CU50" t="e">
        <f>AND(#REF!,"AAAAAHub7GI=")</f>
        <v>#REF!</v>
      </c>
      <c r="CV50" t="e">
        <f>AND(#REF!,"AAAAAHub7GM=")</f>
        <v>#REF!</v>
      </c>
      <c r="CW50" t="e">
        <f>AND(#REF!,"AAAAAHub7GQ=")</f>
        <v>#REF!</v>
      </c>
      <c r="CX50" t="e">
        <f>AND(#REF!,"AAAAAHub7GU=")</f>
        <v>#REF!</v>
      </c>
      <c r="CY50" t="e">
        <f>AND(#REF!,"AAAAAHub7GY=")</f>
        <v>#REF!</v>
      </c>
      <c r="CZ50" t="e">
        <f>AND(#REF!,"AAAAAHub7Gc=")</f>
        <v>#REF!</v>
      </c>
      <c r="DA50" t="e">
        <f>AND(#REF!,"AAAAAHub7Gg=")</f>
        <v>#REF!</v>
      </c>
      <c r="DB50" t="e">
        <f>AND(#REF!,"AAAAAHub7Gk=")</f>
        <v>#REF!</v>
      </c>
      <c r="DC50" t="e">
        <f>AND(#REF!,"AAAAAHub7Go=")</f>
        <v>#REF!</v>
      </c>
      <c r="DD50" t="e">
        <f>AND(#REF!,"AAAAAHub7Gs=")</f>
        <v>#REF!</v>
      </c>
      <c r="DE50" t="e">
        <f>AND(#REF!,"AAAAAHub7Gw=")</f>
        <v>#REF!</v>
      </c>
      <c r="DF50" t="e">
        <f>IF(#REF!,"AAAAAHub7G0=",0)</f>
        <v>#REF!</v>
      </c>
      <c r="DG50" t="e">
        <f>AND(#REF!,"AAAAAHub7G4=")</f>
        <v>#REF!</v>
      </c>
      <c r="DH50" t="e">
        <f>AND(#REF!,"AAAAAHub7G8=")</f>
        <v>#REF!</v>
      </c>
      <c r="DI50" t="e">
        <f>AND(#REF!,"AAAAAHub7HA=")</f>
        <v>#REF!</v>
      </c>
      <c r="DJ50" t="e">
        <f>AND(#REF!,"AAAAAHub7HE=")</f>
        <v>#REF!</v>
      </c>
      <c r="DK50" t="e">
        <f>AND(#REF!,"AAAAAHub7HI=")</f>
        <v>#REF!</v>
      </c>
      <c r="DL50" t="e">
        <f>AND(#REF!,"AAAAAHub7HM=")</f>
        <v>#REF!</v>
      </c>
      <c r="DM50" t="e">
        <f>AND(#REF!,"AAAAAHub7HQ=")</f>
        <v>#REF!</v>
      </c>
      <c r="DN50" t="e">
        <f>AND(#REF!,"AAAAAHub7HU=")</f>
        <v>#REF!</v>
      </c>
      <c r="DO50" t="e">
        <f>AND(#REF!,"AAAAAHub7HY=")</f>
        <v>#REF!</v>
      </c>
      <c r="DP50" t="e">
        <f>AND(#REF!,"AAAAAHub7Hc=")</f>
        <v>#REF!</v>
      </c>
      <c r="DQ50" t="e">
        <f>AND(#REF!,"AAAAAHub7Hg=")</f>
        <v>#REF!</v>
      </c>
      <c r="DR50" t="e">
        <f>AND(#REF!,"AAAAAHub7Hk=")</f>
        <v>#REF!</v>
      </c>
      <c r="DS50" t="e">
        <f>IF(#REF!,"AAAAAHub7Ho=",0)</f>
        <v>#REF!</v>
      </c>
      <c r="DT50" t="e">
        <f>AND(#REF!,"AAAAAHub7Hs=")</f>
        <v>#REF!</v>
      </c>
      <c r="DU50" t="e">
        <f>AND(#REF!,"AAAAAHub7Hw=")</f>
        <v>#REF!</v>
      </c>
      <c r="DV50" t="e">
        <f>AND(#REF!,"AAAAAHub7H0=")</f>
        <v>#REF!</v>
      </c>
      <c r="DW50" t="e">
        <f>AND(#REF!,"AAAAAHub7H4=")</f>
        <v>#REF!</v>
      </c>
      <c r="DX50" t="e">
        <f>AND(#REF!,"AAAAAHub7H8=")</f>
        <v>#REF!</v>
      </c>
      <c r="DY50" t="e">
        <f>AND(#REF!,"AAAAAHub7IA=")</f>
        <v>#REF!</v>
      </c>
      <c r="DZ50" t="e">
        <f>AND(#REF!,"AAAAAHub7IE=")</f>
        <v>#REF!</v>
      </c>
      <c r="EA50" t="e">
        <f>AND(#REF!,"AAAAAHub7II=")</f>
        <v>#REF!</v>
      </c>
      <c r="EB50" t="e">
        <f>AND(#REF!,"AAAAAHub7IM=")</f>
        <v>#REF!</v>
      </c>
      <c r="EC50" t="e">
        <f>AND(#REF!,"AAAAAHub7IQ=")</f>
        <v>#REF!</v>
      </c>
      <c r="ED50" t="e">
        <f>AND(#REF!,"AAAAAHub7IU=")</f>
        <v>#REF!</v>
      </c>
      <c r="EE50" t="e">
        <f>AND(#REF!,"AAAAAHub7IY=")</f>
        <v>#REF!</v>
      </c>
      <c r="EF50" t="e">
        <f>IF(#REF!,"AAAAAHub7Ic=",0)</f>
        <v>#REF!</v>
      </c>
      <c r="EG50" t="e">
        <f>AND(#REF!,"AAAAAHub7Ig=")</f>
        <v>#REF!</v>
      </c>
      <c r="EH50" t="e">
        <f>AND(#REF!,"AAAAAHub7Ik=")</f>
        <v>#REF!</v>
      </c>
      <c r="EI50" t="e">
        <f>AND(#REF!,"AAAAAHub7Io=")</f>
        <v>#REF!</v>
      </c>
      <c r="EJ50" t="e">
        <f>AND(#REF!,"AAAAAHub7Is=")</f>
        <v>#REF!</v>
      </c>
      <c r="EK50" t="e">
        <f>AND(#REF!,"AAAAAHub7Iw=")</f>
        <v>#REF!</v>
      </c>
      <c r="EL50" t="e">
        <f>AND(#REF!,"AAAAAHub7I0=")</f>
        <v>#REF!</v>
      </c>
      <c r="EM50" t="e">
        <f>AND(#REF!,"AAAAAHub7I4=")</f>
        <v>#REF!</v>
      </c>
      <c r="EN50" t="e">
        <f>AND(#REF!,"AAAAAHub7I8=")</f>
        <v>#REF!</v>
      </c>
      <c r="EO50" t="e">
        <f>AND(#REF!,"AAAAAHub7JA=")</f>
        <v>#REF!</v>
      </c>
      <c r="EP50" t="e">
        <f>AND(#REF!,"AAAAAHub7JE=")</f>
        <v>#REF!</v>
      </c>
      <c r="EQ50" t="e">
        <f>AND(#REF!,"AAAAAHub7JI=")</f>
        <v>#REF!</v>
      </c>
      <c r="ER50" t="e">
        <f>AND(#REF!,"AAAAAHub7JM=")</f>
        <v>#REF!</v>
      </c>
      <c r="ES50" t="e">
        <f>IF(#REF!,"AAAAAHub7JQ=",0)</f>
        <v>#REF!</v>
      </c>
      <c r="ET50" t="e">
        <f>AND(#REF!,"AAAAAHub7JU=")</f>
        <v>#REF!</v>
      </c>
      <c r="EU50" t="e">
        <f>AND(#REF!,"AAAAAHub7JY=")</f>
        <v>#REF!</v>
      </c>
      <c r="EV50" t="e">
        <f>AND(#REF!,"AAAAAHub7Jc=")</f>
        <v>#REF!</v>
      </c>
      <c r="EW50" t="e">
        <f>AND(#REF!,"AAAAAHub7Jg=")</f>
        <v>#REF!</v>
      </c>
      <c r="EX50" t="e">
        <f>AND(#REF!,"AAAAAHub7Jk=")</f>
        <v>#REF!</v>
      </c>
      <c r="EY50" t="e">
        <f>AND(#REF!,"AAAAAHub7Jo=")</f>
        <v>#REF!</v>
      </c>
      <c r="EZ50" t="e">
        <f>AND(#REF!,"AAAAAHub7Js=")</f>
        <v>#REF!</v>
      </c>
      <c r="FA50" t="e">
        <f>AND(#REF!,"AAAAAHub7Jw=")</f>
        <v>#REF!</v>
      </c>
      <c r="FB50" t="e">
        <f>AND(#REF!,"AAAAAHub7J0=")</f>
        <v>#REF!</v>
      </c>
      <c r="FC50" t="e">
        <f>AND(#REF!,"AAAAAHub7J4=")</f>
        <v>#REF!</v>
      </c>
      <c r="FD50" t="e">
        <f>AND(#REF!,"AAAAAHub7J8=")</f>
        <v>#REF!</v>
      </c>
      <c r="FE50" t="e">
        <f>AND(#REF!,"AAAAAHub7KA=")</f>
        <v>#REF!</v>
      </c>
      <c r="FF50" t="e">
        <f>IF(#REF!,"AAAAAHub7KE=",0)</f>
        <v>#REF!</v>
      </c>
      <c r="FG50" t="e">
        <f>AND(#REF!,"AAAAAHub7KI=")</f>
        <v>#REF!</v>
      </c>
      <c r="FH50" t="e">
        <f>AND(#REF!,"AAAAAHub7KM=")</f>
        <v>#REF!</v>
      </c>
      <c r="FI50" t="e">
        <f>AND(#REF!,"AAAAAHub7KQ=")</f>
        <v>#REF!</v>
      </c>
      <c r="FJ50" t="e">
        <f>AND(#REF!,"AAAAAHub7KU=")</f>
        <v>#REF!</v>
      </c>
      <c r="FK50" t="e">
        <f>AND(#REF!,"AAAAAHub7KY=")</f>
        <v>#REF!</v>
      </c>
      <c r="FL50" t="e">
        <f>AND(#REF!,"AAAAAHub7Kc=")</f>
        <v>#REF!</v>
      </c>
      <c r="FM50" t="e">
        <f>AND(#REF!,"AAAAAHub7Kg=")</f>
        <v>#REF!</v>
      </c>
      <c r="FN50" t="e">
        <f>AND(#REF!,"AAAAAHub7Kk=")</f>
        <v>#REF!</v>
      </c>
      <c r="FO50" t="e">
        <f>AND(#REF!,"AAAAAHub7Ko=")</f>
        <v>#REF!</v>
      </c>
      <c r="FP50" t="e">
        <f>AND(#REF!,"AAAAAHub7Ks=")</f>
        <v>#REF!</v>
      </c>
      <c r="FQ50" t="e">
        <f>AND(#REF!,"AAAAAHub7Kw=")</f>
        <v>#REF!</v>
      </c>
      <c r="FR50" t="e">
        <f>AND(#REF!,"AAAAAHub7K0=")</f>
        <v>#REF!</v>
      </c>
      <c r="FS50" t="e">
        <f>IF(#REF!,"AAAAAHub7K4=",0)</f>
        <v>#REF!</v>
      </c>
      <c r="FT50" t="e">
        <f>AND(#REF!,"AAAAAHub7K8=")</f>
        <v>#REF!</v>
      </c>
      <c r="FU50" t="e">
        <f>AND(#REF!,"AAAAAHub7LA=")</f>
        <v>#REF!</v>
      </c>
      <c r="FV50" t="e">
        <f>AND(#REF!,"AAAAAHub7LE=")</f>
        <v>#REF!</v>
      </c>
      <c r="FW50" t="e">
        <f>AND(#REF!,"AAAAAHub7LI=")</f>
        <v>#REF!</v>
      </c>
      <c r="FX50" t="e">
        <f>AND(#REF!,"AAAAAHub7LM=")</f>
        <v>#REF!</v>
      </c>
      <c r="FY50" t="e">
        <f>AND(#REF!,"AAAAAHub7LQ=")</f>
        <v>#REF!</v>
      </c>
      <c r="FZ50" t="e">
        <f>AND(#REF!,"AAAAAHub7LU=")</f>
        <v>#REF!</v>
      </c>
      <c r="GA50" t="e">
        <f>AND(#REF!,"AAAAAHub7LY=")</f>
        <v>#REF!</v>
      </c>
      <c r="GB50" t="e">
        <f>AND(#REF!,"AAAAAHub7Lc=")</f>
        <v>#REF!</v>
      </c>
      <c r="GC50" t="e">
        <f>AND(#REF!,"AAAAAHub7Lg=")</f>
        <v>#REF!</v>
      </c>
      <c r="GD50" t="e">
        <f>AND(#REF!,"AAAAAHub7Lk=")</f>
        <v>#REF!</v>
      </c>
      <c r="GE50" t="e">
        <f>AND(#REF!,"AAAAAHub7Lo=")</f>
        <v>#REF!</v>
      </c>
      <c r="GF50" t="e">
        <f>IF(#REF!,"AAAAAHub7Ls=",0)</f>
        <v>#REF!</v>
      </c>
      <c r="GG50" t="e">
        <f>IF(#REF!,"AAAAAHub7Lw=",0)</f>
        <v>#REF!</v>
      </c>
      <c r="GH50" t="e">
        <f>IF(#REF!,"AAAAAHub7L0=",0)</f>
        <v>#REF!</v>
      </c>
      <c r="GI50" t="e">
        <f>IF(#REF!,"AAAAAHub7L4=",0)</f>
        <v>#REF!</v>
      </c>
      <c r="GJ50" t="e">
        <f>IF(#REF!,"AAAAAHub7L8=",0)</f>
        <v>#REF!</v>
      </c>
      <c r="GK50" t="e">
        <f>IF(#REF!,"AAAAAHub7MA=",0)</f>
        <v>#REF!</v>
      </c>
      <c r="GL50" t="e">
        <f>IF(#REF!,"AAAAAHub7ME=",0)</f>
        <v>#REF!</v>
      </c>
      <c r="GM50" t="e">
        <f>IF(#REF!,"AAAAAHub7MI=",0)</f>
        <v>#REF!</v>
      </c>
      <c r="GN50" t="e">
        <f>IF(#REF!,"AAAAAHub7MM=",0)</f>
        <v>#REF!</v>
      </c>
      <c r="GO50" t="e">
        <f>IF(#REF!,"AAAAAHub7MQ=",0)</f>
        <v>#REF!</v>
      </c>
      <c r="GP50" t="e">
        <f>IF(#REF!,"AAAAAHub7MU=",0)</f>
        <v>#REF!</v>
      </c>
      <c r="GQ50" t="e">
        <f>IF(#REF!,"AAAAAHub7MY=",0)</f>
        <v>#REF!</v>
      </c>
      <c r="GR50" t="e">
        <f>IF(#REF!,"AAAAAHub7Mc=",0)</f>
        <v>#REF!</v>
      </c>
      <c r="GS50" t="e">
        <f>IF(#REF!,"AAAAAHub7Mg=",0)</f>
        <v>#REF!</v>
      </c>
      <c r="GT50" t="e">
        <f>IF(#REF!,"AAAAAHub7Mk=",0)</f>
        <v>#REF!</v>
      </c>
      <c r="GU50" t="e">
        <f>IF(#REF!,"AAAAAHub7Mo=",0)</f>
        <v>#REF!</v>
      </c>
      <c r="GV50" t="e">
        <f>IF(#REF!,"AAAAAHub7Ms=",0)</f>
        <v>#REF!</v>
      </c>
      <c r="GW50" t="e">
        <f>IF(#REF!,"AAAAAHub7Mw=",0)</f>
        <v>#REF!</v>
      </c>
      <c r="GX50" t="e">
        <f>IF(#REF!,"AAAAAHub7M0=",0)</f>
        <v>#REF!</v>
      </c>
      <c r="GY50" t="e">
        <f>IF(#REF!,"AAAAAHub7M4=",0)</f>
        <v>#REF!</v>
      </c>
      <c r="GZ50" t="e">
        <f>IF(#REF!,"AAAAAHub7M8=",0)</f>
        <v>#REF!</v>
      </c>
      <c r="HA50" t="e">
        <f>IF(#REF!,"AAAAAHub7NA=",0)</f>
        <v>#REF!</v>
      </c>
      <c r="HB50" t="e">
        <f>IF(#REF!,"AAAAAHub7NE=",0)</f>
        <v>#REF!</v>
      </c>
      <c r="HC50" t="e">
        <f>IF(#REF!,"AAAAAHub7NI=",0)</f>
        <v>#REF!</v>
      </c>
      <c r="HD50" t="e">
        <f>IF(#REF!,"AAAAAHub7NM=",0)</f>
        <v>#REF!</v>
      </c>
      <c r="HE50" t="e">
        <f>IF(#REF!,"AAAAAHub7NQ=",0)</f>
        <v>#REF!</v>
      </c>
      <c r="HF50" t="e">
        <f>IF(#REF!,"AAAAAHub7NU=",0)</f>
        <v>#REF!</v>
      </c>
      <c r="HG50" t="e">
        <f>IF(#REF!,"AAAAAHub7NY=",0)</f>
        <v>#REF!</v>
      </c>
      <c r="HH50" t="e">
        <f>IF(#REF!,"AAAAAHub7Nc=",0)</f>
        <v>#REF!</v>
      </c>
      <c r="HI50" t="s">
        <v>528</v>
      </c>
      <c r="HJ50" s="37" t="s">
        <v>529</v>
      </c>
      <c r="HK50" s="38" t="s">
        <v>530</v>
      </c>
      <c r="HL50" s="39" t="s">
        <v>531</v>
      </c>
      <c r="HM50" s="40" t="s">
        <v>532</v>
      </c>
      <c r="HN50" s="41" t="s">
        <v>533</v>
      </c>
      <c r="HO50" s="42" t="s">
        <v>534</v>
      </c>
      <c r="HP50" s="43" t="s">
        <v>535</v>
      </c>
      <c r="HQ50" s="44" t="s">
        <v>536</v>
      </c>
      <c r="HR50" s="45" t="s">
        <v>537</v>
      </c>
      <c r="HS50" s="46" t="s">
        <v>538</v>
      </c>
      <c r="HT50" s="47" t="s">
        <v>539</v>
      </c>
      <c r="HU50" s="48" t="s">
        <v>540</v>
      </c>
      <c r="HV50" s="49" t="s">
        <v>541</v>
      </c>
      <c r="HW50" s="50" t="s">
        <v>542</v>
      </c>
      <c r="HX50" s="51" t="s">
        <v>543</v>
      </c>
      <c r="HY50" s="52" t="s">
        <v>544</v>
      </c>
      <c r="HZ50" s="53" t="s">
        <v>545</v>
      </c>
      <c r="IA50" s="54" t="s">
        <v>546</v>
      </c>
      <c r="IB50" t="e">
        <f>IF("N",[0]!_xlnm._FilterDatabase,"AAAAAHub7Os=")</f>
        <v>#VALUE!</v>
      </c>
      <c r="IC50" t="e">
        <f>IF("N",[0]!Macroactividades,"AAAAAHub7Ow=")</f>
        <v>#VALUE!</v>
      </c>
      <c r="ID50" t="e">
        <f>IF("N",Macroactividades,"AAAAAHub7O0=")</f>
        <v>#VALUE!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vt:i4>
      </vt:variant>
    </vt:vector>
  </HeadingPairs>
  <TitlesOfParts>
    <vt:vector size="26" baseType="lpstr">
      <vt:lpstr>Data</vt:lpstr>
      <vt:lpstr>Instrucciones</vt:lpstr>
      <vt:lpstr>Control de Cambios</vt:lpstr>
      <vt:lpstr>1. Portal</vt:lpstr>
      <vt:lpstr>2. Gestión de Procesos</vt:lpstr>
      <vt:lpstr>3. Gestión Dtal - Flujo</vt:lpstr>
      <vt:lpstr>4. Gestión Dtal - Cia y Sols </vt:lpstr>
      <vt:lpstr>5. Colaboración</vt:lpstr>
      <vt:lpstr>6. Seguridad</vt:lpstr>
      <vt:lpstr>7. Captura y Formularios</vt:lpstr>
      <vt:lpstr>8. Solución de Riesgo</vt:lpstr>
      <vt:lpstr>9. Admón. del Seguro Depósito</vt:lpstr>
      <vt:lpstr>10. Seguimiento</vt:lpstr>
      <vt:lpstr>11. Prima e Inscripciones</vt:lpstr>
      <vt:lpstr>12. Apoyo e Intervención</vt:lpstr>
      <vt:lpstr>13. Admón. de Proveedores</vt:lpstr>
      <vt:lpstr>14. Admón. de Bienes</vt:lpstr>
      <vt:lpstr>15. Capacitación</vt:lpstr>
      <vt:lpstr>16. Informes e Indicadores</vt:lpstr>
      <vt:lpstr>17. Administración de Proyectos</vt:lpstr>
      <vt:lpstr>NF. No Funcionales</vt:lpstr>
      <vt:lpstr>Tipificación de las Solicitudes</vt:lpstr>
      <vt:lpstr>Lista de Procesos</vt:lpstr>
      <vt:lpstr>Tipificación de Terceros</vt:lpstr>
      <vt:lpstr>Estados de las Entidades</vt:lpstr>
      <vt:lpstr>Macroactividades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amorales002</dc:creator>
  <cp:lastModifiedBy>rmancera002</cp:lastModifiedBy>
  <cp:lastPrinted>2012-04-02T20:54:16Z</cp:lastPrinted>
  <dcterms:created xsi:type="dcterms:W3CDTF">2009-01-23T10:19:39Z</dcterms:created>
  <dcterms:modified xsi:type="dcterms:W3CDTF">2012-07-12T22:25:39Z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false</vt:lpwstr>
  </property>
  <property fmtid="{D5CDD505-2E9C-101B-9397-08002B2CF9AE}" pid="3" name="Google.Documents.DocumentId">
    <vt:lpwstr>1fCJ812osWja0hnePubi7D6RGxTj0-36qupMASQdDTWc</vt:lpwstr>
  </property>
  <property fmtid="{D5CDD505-2E9C-101B-9397-08002B2CF9AE}" pid="4" name="Google.Documents.RevisionId">
    <vt:lpwstr>18019326493927893451</vt:lpwstr>
  </property>
  <property fmtid="{D5CDD505-2E9C-101B-9397-08002B2CF9AE}" pid="5" name="Google.Documents.PluginVersion">
    <vt:lpwstr>2.0.2662.553</vt:lpwstr>
  </property>
  <property fmtid="{D5CDD505-2E9C-101B-9397-08002B2CF9AE}" pid="6" name="Google.Documents.MergeIncapabilityFlags">
    <vt:i4>0</vt:i4>
  </property>
</Properties>
</file>